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Denne_projektmappe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https://haaningogmerrald.sharepoint.com/sites/HaaningMerrald/Shared Documents/A5 Kunder/Furesø/Økologimåling/2025Q4/"/>
    </mc:Choice>
  </mc:AlternateContent>
  <xr:revisionPtr revIDLastSave="27" documentId="8_{5B5DD34B-61A3-4D31-89F2-F64C873C4881}" xr6:coauthVersionLast="47" xr6:coauthVersionMax="47" xr10:uidLastSave="{F7A1E43E-F8A4-4D9A-AD6F-21EAF04BF7B4}"/>
  <bookViews>
    <workbookView xWindow="-110" yWindow="-110" windowWidth="19420" windowHeight="11500" tabRatio="746" activeTab="2" xr2:uid="{00000000-000D-0000-FFFF-FFFF00000000}"/>
  </bookViews>
  <sheets>
    <sheet name="Spisemærker" sheetId="13" r:id="rId1"/>
    <sheet name="Øko% kommunale køkk. m. smiley" sheetId="19" r:id="rId2"/>
    <sheet name="Øko% pr. område" sheetId="22" r:id="rId3"/>
    <sheet name="Hørkram Q3" sheetId="36" state="hidden" r:id="rId4"/>
    <sheet name="Nemlig Q4" sheetId="34" state="hidden" r:id="rId5"/>
    <sheet name="Hørkram Q4" sheetId="37" state="hidden" r:id="rId6"/>
    <sheet name="Øko% Alle køkkener" sheetId="3" r:id="rId7"/>
  </sheets>
  <externalReferences>
    <externalReference r:id="rId8"/>
  </externalReferences>
  <definedNames>
    <definedName name="_xlnm._FilterDatabase" localSheetId="4" hidden="1">'Nemlig Q4'!$A$1:$H$67</definedName>
    <definedName name="_xlnm._FilterDatabase" localSheetId="6" hidden="1">'Øko% Alle køkkener'!$A$4:$AL$116</definedName>
    <definedName name="_xlnm._FilterDatabase" localSheetId="1" hidden="1">'Øko% kommunale køkk. m. smiley'!$A$4:$P$56</definedName>
    <definedName name="_xlnm.Print_Area" localSheetId="5">'Hørkram Q4'!$A$1:$F$64</definedName>
  </definedNames>
  <calcPr calcId="191029"/>
  <pivotCaches>
    <pivotCache cacheId="34" r:id="rId9"/>
  </pivotCaches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6" i="3" l="1"/>
  <c r="J97" i="3"/>
  <c r="J98" i="3"/>
  <c r="J99" i="3"/>
  <c r="J100" i="3"/>
  <c r="J101" i="3"/>
  <c r="J102" i="3"/>
  <c r="J103" i="3"/>
  <c r="J104" i="3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34" i="3"/>
  <c r="J35" i="3"/>
  <c r="J36" i="3"/>
  <c r="J37" i="3"/>
  <c r="J38" i="3"/>
  <c r="J39" i="3"/>
  <c r="J40" i="3"/>
  <c r="J41" i="3"/>
  <c r="J42" i="3"/>
  <c r="J43" i="3"/>
  <c r="J44" i="3"/>
  <c r="J45" i="3"/>
  <c r="J46" i="3"/>
  <c r="J47" i="3"/>
  <c r="J48" i="3"/>
  <c r="J49" i="3"/>
  <c r="J50" i="3"/>
  <c r="J51" i="3"/>
  <c r="J52" i="3"/>
  <c r="J53" i="3"/>
  <c r="J54" i="3"/>
  <c r="J55" i="3"/>
  <c r="J56" i="3"/>
  <c r="J57" i="3"/>
  <c r="J58" i="3"/>
  <c r="J59" i="3"/>
  <c r="J60" i="3"/>
  <c r="J61" i="3"/>
  <c r="J62" i="3"/>
  <c r="J63" i="3"/>
  <c r="J64" i="3"/>
  <c r="J65" i="3"/>
  <c r="J66" i="3"/>
  <c r="J67" i="3"/>
  <c r="J68" i="3"/>
  <c r="J69" i="3"/>
  <c r="J70" i="3"/>
  <c r="J71" i="3"/>
  <c r="J72" i="3"/>
  <c r="J73" i="3"/>
  <c r="J74" i="3"/>
  <c r="J75" i="3"/>
  <c r="J76" i="3"/>
  <c r="J77" i="3"/>
  <c r="J78" i="3"/>
  <c r="J79" i="3"/>
  <c r="J80" i="3"/>
  <c r="J81" i="3"/>
  <c r="J82" i="3"/>
  <c r="J83" i="3"/>
  <c r="J84" i="3"/>
  <c r="J85" i="3"/>
  <c r="J86" i="3"/>
  <c r="J87" i="3"/>
  <c r="J88" i="3"/>
  <c r="J89" i="3"/>
  <c r="J90" i="3"/>
  <c r="J91" i="3"/>
  <c r="J92" i="3"/>
  <c r="J93" i="3"/>
  <c r="J94" i="3"/>
  <c r="J95" i="3"/>
  <c r="J7" i="3"/>
  <c r="J8" i="3"/>
  <c r="J9" i="3"/>
  <c r="J10" i="3"/>
  <c r="J5" i="3"/>
  <c r="J116" i="3"/>
  <c r="S68" i="3" l="1"/>
  <c r="S20" i="3"/>
  <c r="S99" i="3"/>
  <c r="S45" i="3"/>
  <c r="S93" i="3"/>
  <c r="S59" i="3"/>
  <c r="S86" i="3"/>
  <c r="S55" i="3"/>
  <c r="S27" i="3"/>
  <c r="T114" i="3" l="1"/>
  <c r="U114" i="3"/>
  <c r="Q86" i="3" l="1"/>
  <c r="O49" i="3" l="1"/>
  <c r="N49" i="3"/>
  <c r="N104" i="3"/>
  <c r="O104" i="3"/>
  <c r="O86" i="3"/>
  <c r="N86" i="3"/>
  <c r="O76" i="3"/>
  <c r="N76" i="3"/>
  <c r="O73" i="3"/>
  <c r="N73" i="3"/>
  <c r="N106" i="3"/>
  <c r="O106" i="3"/>
  <c r="N107" i="3"/>
  <c r="O107" i="3"/>
  <c r="N108" i="3"/>
  <c r="O108" i="3"/>
  <c r="N109" i="3"/>
  <c r="O109" i="3"/>
  <c r="N110" i="3"/>
  <c r="O110" i="3"/>
  <c r="N111" i="3"/>
  <c r="O111" i="3"/>
  <c r="N112" i="3"/>
  <c r="O112" i="3"/>
  <c r="N113" i="3"/>
  <c r="O113" i="3"/>
  <c r="N114" i="3"/>
  <c r="O114" i="3"/>
  <c r="N115" i="3"/>
  <c r="O115" i="3"/>
  <c r="O105" i="3"/>
  <c r="N105" i="3"/>
  <c r="N88" i="3"/>
  <c r="O88" i="3"/>
  <c r="N89" i="3"/>
  <c r="O89" i="3"/>
  <c r="N90" i="3"/>
  <c r="O90" i="3"/>
  <c r="N91" i="3"/>
  <c r="O91" i="3"/>
  <c r="N92" i="3"/>
  <c r="O92" i="3"/>
  <c r="N93" i="3"/>
  <c r="O93" i="3"/>
  <c r="N94" i="3"/>
  <c r="O94" i="3"/>
  <c r="N95" i="3"/>
  <c r="O95" i="3"/>
  <c r="N96" i="3"/>
  <c r="O96" i="3"/>
  <c r="N97" i="3"/>
  <c r="O97" i="3"/>
  <c r="N98" i="3"/>
  <c r="O98" i="3"/>
  <c r="N99" i="3"/>
  <c r="O99" i="3"/>
  <c r="N100" i="3"/>
  <c r="O100" i="3"/>
  <c r="N101" i="3"/>
  <c r="O101" i="3"/>
  <c r="N102" i="3"/>
  <c r="O102" i="3"/>
  <c r="N103" i="3"/>
  <c r="O103" i="3"/>
  <c r="O87" i="3"/>
  <c r="N87" i="3"/>
  <c r="N78" i="3"/>
  <c r="O78" i="3"/>
  <c r="N79" i="3"/>
  <c r="O79" i="3"/>
  <c r="N80" i="3"/>
  <c r="O80" i="3"/>
  <c r="N81" i="3"/>
  <c r="O81" i="3"/>
  <c r="N82" i="3"/>
  <c r="O82" i="3"/>
  <c r="N83" i="3"/>
  <c r="O83" i="3"/>
  <c r="N84" i="3"/>
  <c r="O84" i="3"/>
  <c r="N85" i="3"/>
  <c r="O85" i="3"/>
  <c r="O77" i="3"/>
  <c r="N77" i="3"/>
  <c r="N75" i="3"/>
  <c r="O75" i="3"/>
  <c r="O74" i="3"/>
  <c r="N74" i="3"/>
  <c r="N6" i="3"/>
  <c r="O6" i="3"/>
  <c r="N7" i="3"/>
  <c r="O7" i="3"/>
  <c r="N8" i="3"/>
  <c r="O8" i="3"/>
  <c r="N9" i="3"/>
  <c r="O9" i="3"/>
  <c r="N10" i="3"/>
  <c r="O10" i="3"/>
  <c r="N11" i="3"/>
  <c r="O11" i="3"/>
  <c r="N12" i="3"/>
  <c r="O12" i="3"/>
  <c r="N13" i="3"/>
  <c r="O13" i="3"/>
  <c r="N14" i="3"/>
  <c r="O14" i="3"/>
  <c r="N15" i="3"/>
  <c r="O15" i="3"/>
  <c r="N16" i="3"/>
  <c r="O16" i="3"/>
  <c r="N17" i="3"/>
  <c r="O17" i="3"/>
  <c r="N18" i="3"/>
  <c r="O18" i="3"/>
  <c r="N19" i="3"/>
  <c r="O19" i="3"/>
  <c r="N20" i="3"/>
  <c r="O20" i="3"/>
  <c r="N21" i="3"/>
  <c r="O21" i="3"/>
  <c r="N22" i="3"/>
  <c r="O22" i="3"/>
  <c r="N23" i="3"/>
  <c r="O23" i="3"/>
  <c r="N24" i="3"/>
  <c r="O24" i="3"/>
  <c r="N25" i="3"/>
  <c r="O25" i="3"/>
  <c r="N26" i="3"/>
  <c r="O26" i="3"/>
  <c r="N27" i="3"/>
  <c r="O27" i="3"/>
  <c r="N28" i="3"/>
  <c r="O28" i="3"/>
  <c r="N29" i="3"/>
  <c r="O29" i="3"/>
  <c r="N30" i="3"/>
  <c r="O30" i="3"/>
  <c r="N31" i="3"/>
  <c r="O31" i="3"/>
  <c r="N32" i="3"/>
  <c r="O32" i="3"/>
  <c r="N33" i="3"/>
  <c r="O33" i="3"/>
  <c r="N34" i="3"/>
  <c r="O34" i="3"/>
  <c r="N35" i="3"/>
  <c r="O35" i="3"/>
  <c r="N36" i="3"/>
  <c r="O36" i="3"/>
  <c r="N37" i="3"/>
  <c r="O37" i="3"/>
  <c r="N38" i="3"/>
  <c r="O38" i="3"/>
  <c r="N39" i="3"/>
  <c r="O39" i="3"/>
  <c r="N40" i="3"/>
  <c r="O40" i="3"/>
  <c r="N41" i="3"/>
  <c r="O41" i="3"/>
  <c r="N42" i="3"/>
  <c r="O42" i="3"/>
  <c r="N43" i="3"/>
  <c r="O43" i="3"/>
  <c r="N44" i="3"/>
  <c r="O44" i="3"/>
  <c r="N45" i="3"/>
  <c r="O45" i="3"/>
  <c r="N46" i="3"/>
  <c r="O46" i="3"/>
  <c r="N47" i="3"/>
  <c r="O47" i="3"/>
  <c r="N48" i="3"/>
  <c r="O48" i="3"/>
  <c r="N50" i="3"/>
  <c r="O50" i="3"/>
  <c r="N51" i="3"/>
  <c r="O51" i="3"/>
  <c r="N52" i="3"/>
  <c r="O52" i="3"/>
  <c r="N53" i="3"/>
  <c r="O53" i="3"/>
  <c r="N54" i="3"/>
  <c r="O54" i="3"/>
  <c r="N55" i="3"/>
  <c r="O55" i="3"/>
  <c r="N56" i="3"/>
  <c r="O56" i="3"/>
  <c r="N57" i="3"/>
  <c r="O57" i="3"/>
  <c r="N58" i="3"/>
  <c r="O58" i="3"/>
  <c r="N59" i="3"/>
  <c r="O59" i="3"/>
  <c r="N60" i="3"/>
  <c r="O60" i="3"/>
  <c r="N61" i="3"/>
  <c r="O61" i="3"/>
  <c r="N62" i="3"/>
  <c r="O62" i="3"/>
  <c r="N63" i="3"/>
  <c r="O63" i="3"/>
  <c r="N64" i="3"/>
  <c r="O64" i="3"/>
  <c r="N65" i="3"/>
  <c r="O65" i="3"/>
  <c r="N66" i="3"/>
  <c r="O66" i="3"/>
  <c r="N67" i="3"/>
  <c r="O67" i="3"/>
  <c r="N68" i="3"/>
  <c r="O68" i="3"/>
  <c r="N69" i="3"/>
  <c r="O69" i="3"/>
  <c r="N70" i="3"/>
  <c r="O70" i="3"/>
  <c r="N71" i="3"/>
  <c r="O71" i="3"/>
  <c r="N72" i="3"/>
  <c r="O72" i="3"/>
  <c r="M64" i="3" l="1"/>
  <c r="L64" i="3"/>
  <c r="L32" i="3"/>
  <c r="M32" i="3"/>
  <c r="K32" i="3" s="1"/>
  <c r="F68" i="34"/>
  <c r="G68" i="34"/>
  <c r="E31" i="34"/>
  <c r="H31" i="34"/>
  <c r="E20" i="34"/>
  <c r="H20" i="34"/>
  <c r="E38" i="34"/>
  <c r="H38" i="34"/>
  <c r="E39" i="34"/>
  <c r="H39" i="34"/>
  <c r="E17" i="34"/>
  <c r="H17" i="34"/>
  <c r="E59" i="34"/>
  <c r="H59" i="34"/>
  <c r="E44" i="34"/>
  <c r="H44" i="34"/>
  <c r="E12" i="34"/>
  <c r="H12" i="34"/>
  <c r="E14" i="34"/>
  <c r="H14" i="34"/>
  <c r="E42" i="34"/>
  <c r="H42" i="34"/>
  <c r="E6" i="34"/>
  <c r="H6" i="34"/>
  <c r="E2" i="34"/>
  <c r="E68" i="34" s="1"/>
  <c r="H2" i="34"/>
  <c r="H68" i="34" s="1"/>
  <c r="E28" i="34"/>
  <c r="H28" i="34"/>
  <c r="E34" i="34"/>
  <c r="H34" i="34"/>
  <c r="E50" i="34"/>
  <c r="H50" i="34"/>
  <c r="E4" i="34"/>
  <c r="H4" i="34"/>
  <c r="E35" i="34"/>
  <c r="H35" i="34"/>
  <c r="E13" i="34"/>
  <c r="H13" i="34"/>
  <c r="E29" i="34"/>
  <c r="H29" i="34"/>
  <c r="E33" i="34"/>
  <c r="H33" i="34"/>
  <c r="E11" i="34"/>
  <c r="H11" i="34"/>
  <c r="E46" i="34"/>
  <c r="H46" i="34"/>
  <c r="E47" i="34"/>
  <c r="H47" i="34"/>
  <c r="E19" i="34"/>
  <c r="H19" i="34"/>
  <c r="E5" i="34"/>
  <c r="H5" i="34"/>
  <c r="E16" i="34"/>
  <c r="H16" i="34"/>
  <c r="E24" i="34"/>
  <c r="H24" i="34"/>
  <c r="E36" i="34"/>
  <c r="H36" i="34"/>
  <c r="E9" i="34"/>
  <c r="H9" i="34"/>
  <c r="E18" i="34"/>
  <c r="H18" i="34"/>
  <c r="E22" i="34"/>
  <c r="H22" i="34"/>
  <c r="E48" i="34"/>
  <c r="H48" i="34"/>
  <c r="E8" i="34"/>
  <c r="H8" i="34"/>
  <c r="E53" i="34"/>
  <c r="H53" i="34"/>
  <c r="E51" i="34"/>
  <c r="H51" i="34"/>
  <c r="E54" i="34"/>
  <c r="H54" i="34"/>
  <c r="E61" i="34"/>
  <c r="H61" i="34"/>
  <c r="E27" i="34"/>
  <c r="H27" i="34"/>
  <c r="E41" i="34"/>
  <c r="H41" i="34"/>
  <c r="E60" i="34"/>
  <c r="H60" i="34"/>
  <c r="E63" i="34"/>
  <c r="H63" i="34"/>
  <c r="E21" i="34"/>
  <c r="H21" i="34"/>
  <c r="E15" i="34"/>
  <c r="H15" i="34"/>
  <c r="E32" i="34"/>
  <c r="H32" i="34"/>
  <c r="E62" i="34"/>
  <c r="H62" i="34"/>
  <c r="E64" i="34"/>
  <c r="H64" i="34"/>
  <c r="E7" i="34"/>
  <c r="H7" i="34"/>
  <c r="E26" i="34"/>
  <c r="H26" i="34"/>
  <c r="E43" i="34"/>
  <c r="H43" i="34"/>
  <c r="E45" i="34"/>
  <c r="H45" i="34"/>
  <c r="E55" i="34"/>
  <c r="H55" i="34"/>
  <c r="E56" i="34"/>
  <c r="H56" i="34"/>
  <c r="H3" i="34"/>
  <c r="E3" i="34"/>
  <c r="I32" i="3" l="1"/>
  <c r="L5" i="3"/>
  <c r="M74" i="3" l="1"/>
  <c r="M106" i="3"/>
  <c r="L106" i="3"/>
  <c r="M53" i="3"/>
  <c r="L53" i="3"/>
  <c r="L74" i="3"/>
  <c r="L76" i="3"/>
  <c r="M76" i="3"/>
  <c r="L77" i="3"/>
  <c r="M77" i="3"/>
  <c r="L78" i="3"/>
  <c r="M78" i="3"/>
  <c r="L79" i="3"/>
  <c r="M79" i="3"/>
  <c r="L80" i="3"/>
  <c r="M80" i="3"/>
  <c r="L81" i="3"/>
  <c r="M81" i="3"/>
  <c r="L82" i="3"/>
  <c r="M82" i="3"/>
  <c r="L83" i="3"/>
  <c r="M83" i="3"/>
  <c r="L84" i="3"/>
  <c r="M84" i="3"/>
  <c r="L85" i="3"/>
  <c r="M85" i="3"/>
  <c r="L86" i="3"/>
  <c r="M86" i="3"/>
  <c r="L87" i="3"/>
  <c r="M87" i="3"/>
  <c r="L88" i="3"/>
  <c r="M88" i="3"/>
  <c r="L89" i="3"/>
  <c r="M89" i="3"/>
  <c r="L90" i="3"/>
  <c r="M90" i="3"/>
  <c r="L91" i="3"/>
  <c r="M91" i="3"/>
  <c r="L92" i="3"/>
  <c r="M92" i="3"/>
  <c r="L93" i="3"/>
  <c r="M93" i="3"/>
  <c r="L94" i="3"/>
  <c r="M94" i="3"/>
  <c r="L95" i="3"/>
  <c r="M95" i="3"/>
  <c r="L96" i="3"/>
  <c r="M96" i="3"/>
  <c r="L97" i="3"/>
  <c r="M97" i="3"/>
  <c r="L98" i="3"/>
  <c r="M98" i="3"/>
  <c r="L99" i="3"/>
  <c r="M99" i="3"/>
  <c r="L100" i="3"/>
  <c r="M100" i="3"/>
  <c r="L101" i="3"/>
  <c r="M101" i="3"/>
  <c r="L102" i="3"/>
  <c r="M102" i="3"/>
  <c r="L103" i="3"/>
  <c r="M103" i="3"/>
  <c r="L104" i="3"/>
  <c r="M104" i="3"/>
  <c r="L105" i="3"/>
  <c r="M105" i="3"/>
  <c r="L107" i="3"/>
  <c r="M107" i="3"/>
  <c r="L108" i="3"/>
  <c r="M108" i="3"/>
  <c r="L109" i="3"/>
  <c r="M109" i="3"/>
  <c r="L110" i="3"/>
  <c r="M110" i="3"/>
  <c r="L111" i="3"/>
  <c r="M111" i="3"/>
  <c r="L112" i="3"/>
  <c r="M112" i="3"/>
  <c r="L113" i="3"/>
  <c r="M113" i="3"/>
  <c r="L114" i="3"/>
  <c r="M114" i="3"/>
  <c r="M75" i="3"/>
  <c r="L75" i="3"/>
  <c r="L68" i="3"/>
  <c r="M68" i="3"/>
  <c r="L69" i="3"/>
  <c r="M69" i="3"/>
  <c r="L70" i="3"/>
  <c r="M70" i="3"/>
  <c r="L71" i="3"/>
  <c r="M71" i="3"/>
  <c r="L72" i="3"/>
  <c r="M72" i="3"/>
  <c r="L73" i="3"/>
  <c r="M73" i="3"/>
  <c r="L59" i="3"/>
  <c r="M59" i="3"/>
  <c r="L60" i="3"/>
  <c r="M60" i="3"/>
  <c r="L61" i="3"/>
  <c r="M61" i="3"/>
  <c r="L62" i="3"/>
  <c r="M62" i="3"/>
  <c r="L63" i="3"/>
  <c r="M63" i="3"/>
  <c r="L65" i="3"/>
  <c r="M65" i="3"/>
  <c r="L66" i="3"/>
  <c r="M66" i="3"/>
  <c r="L67" i="3"/>
  <c r="M67" i="3"/>
  <c r="M58" i="3"/>
  <c r="L58" i="3"/>
  <c r="L54" i="3"/>
  <c r="M54" i="3"/>
  <c r="L55" i="3"/>
  <c r="M55" i="3"/>
  <c r="L56" i="3"/>
  <c r="M56" i="3"/>
  <c r="L46" i="3"/>
  <c r="M46" i="3"/>
  <c r="L47" i="3"/>
  <c r="M47" i="3"/>
  <c r="L48" i="3"/>
  <c r="M48" i="3"/>
  <c r="L49" i="3"/>
  <c r="M49" i="3"/>
  <c r="L50" i="3"/>
  <c r="M50" i="3"/>
  <c r="L51" i="3"/>
  <c r="M51" i="3"/>
  <c r="L52" i="3"/>
  <c r="M52" i="3"/>
  <c r="M45" i="3"/>
  <c r="L45" i="3"/>
  <c r="L42" i="3"/>
  <c r="M42" i="3"/>
  <c r="L43" i="3"/>
  <c r="M43" i="3"/>
  <c r="L35" i="3"/>
  <c r="M35" i="3"/>
  <c r="L36" i="3"/>
  <c r="M36" i="3"/>
  <c r="L37" i="3"/>
  <c r="M37" i="3"/>
  <c r="L38" i="3"/>
  <c r="M38" i="3"/>
  <c r="L39" i="3"/>
  <c r="M39" i="3"/>
  <c r="L40" i="3"/>
  <c r="M40" i="3"/>
  <c r="L41" i="3"/>
  <c r="M41" i="3"/>
  <c r="L28" i="3"/>
  <c r="M28" i="3"/>
  <c r="L29" i="3"/>
  <c r="M29" i="3"/>
  <c r="L30" i="3"/>
  <c r="M30" i="3"/>
  <c r="L31" i="3"/>
  <c r="M31" i="3"/>
  <c r="L33" i="3"/>
  <c r="M33" i="3"/>
  <c r="L34" i="3"/>
  <c r="M34" i="3"/>
  <c r="L23" i="3"/>
  <c r="M23" i="3"/>
  <c r="L24" i="3"/>
  <c r="M24" i="3"/>
  <c r="L25" i="3"/>
  <c r="M25" i="3"/>
  <c r="L26" i="3"/>
  <c r="M26" i="3"/>
  <c r="L27" i="3"/>
  <c r="M27" i="3"/>
  <c r="L18" i="3"/>
  <c r="M18" i="3"/>
  <c r="L19" i="3"/>
  <c r="M19" i="3"/>
  <c r="L20" i="3"/>
  <c r="M20" i="3"/>
  <c r="L21" i="3"/>
  <c r="M21" i="3"/>
  <c r="L22" i="3"/>
  <c r="M22" i="3"/>
  <c r="L6" i="3"/>
  <c r="M6" i="3"/>
  <c r="L7" i="3"/>
  <c r="M7" i="3"/>
  <c r="L8" i="3"/>
  <c r="M8" i="3"/>
  <c r="L9" i="3"/>
  <c r="M9" i="3"/>
  <c r="L10" i="3"/>
  <c r="M10" i="3"/>
  <c r="L11" i="3"/>
  <c r="M11" i="3"/>
  <c r="L12" i="3"/>
  <c r="M12" i="3"/>
  <c r="L13" i="3"/>
  <c r="M13" i="3"/>
  <c r="L14" i="3"/>
  <c r="M14" i="3"/>
  <c r="L15" i="3"/>
  <c r="M15" i="3"/>
  <c r="L16" i="3"/>
  <c r="M16" i="3"/>
  <c r="L17" i="3"/>
  <c r="M17" i="3"/>
  <c r="M5" i="3"/>
  <c r="M115" i="3"/>
  <c r="M57" i="3"/>
  <c r="M44" i="3"/>
  <c r="L115" i="3"/>
  <c r="L57" i="3"/>
  <c r="L44" i="3"/>
  <c r="N53" i="34"/>
  <c r="M53" i="34"/>
  <c r="M39" i="19" l="1"/>
  <c r="L39" i="19"/>
  <c r="L20" i="19"/>
  <c r="D20" i="19" l="1"/>
  <c r="K76" i="3"/>
  <c r="K75" i="3"/>
  <c r="A38" i="19"/>
  <c r="B38" i="19" s="1"/>
  <c r="F38" i="19"/>
  <c r="G38" i="19"/>
  <c r="J38" i="19"/>
  <c r="K38" i="19"/>
  <c r="L38" i="19"/>
  <c r="M38" i="19"/>
  <c r="N38" i="19"/>
  <c r="O38" i="19"/>
  <c r="K73" i="3"/>
  <c r="E38" i="19" s="1"/>
  <c r="I73" i="3" l="1"/>
  <c r="C38" i="19" s="1"/>
  <c r="D38" i="19"/>
  <c r="I38" i="19"/>
  <c r="A38" i="13"/>
  <c r="B38" i="13" s="1"/>
  <c r="H38" i="19"/>
  <c r="F16" i="19"/>
  <c r="G16" i="19"/>
  <c r="H16" i="19"/>
  <c r="I16" i="19"/>
  <c r="J16" i="19"/>
  <c r="K16" i="19"/>
  <c r="L16" i="19"/>
  <c r="M16" i="19"/>
  <c r="N16" i="19"/>
  <c r="O16" i="19"/>
  <c r="A16" i="19"/>
  <c r="A16" i="13" s="1"/>
  <c r="K18" i="3" l="1"/>
  <c r="E16" i="19" s="1"/>
  <c r="D16" i="19"/>
  <c r="I18" i="3" l="1"/>
  <c r="J6" i="3"/>
  <c r="K6" i="3"/>
  <c r="B16" i="13" l="1"/>
  <c r="C16" i="19"/>
  <c r="I6" i="3"/>
  <c r="O116" i="3" l="1"/>
  <c r="N116" i="3" l="1"/>
  <c r="F51" i="19"/>
  <c r="G51" i="19"/>
  <c r="J51" i="19"/>
  <c r="K51" i="19"/>
  <c r="L51" i="19"/>
  <c r="M51" i="19"/>
  <c r="N51" i="19"/>
  <c r="O51" i="19"/>
  <c r="F50" i="19"/>
  <c r="G50" i="19"/>
  <c r="J50" i="19"/>
  <c r="K50" i="19"/>
  <c r="L50" i="19"/>
  <c r="N50" i="19"/>
  <c r="O50" i="19"/>
  <c r="M50" i="19"/>
  <c r="B3" i="13" l="1"/>
  <c r="K24" i="3" l="1"/>
  <c r="H50" i="19" l="1"/>
  <c r="I50" i="19"/>
  <c r="H51" i="19"/>
  <c r="I51" i="19"/>
  <c r="E57" i="13"/>
  <c r="K86" i="3" l="1"/>
  <c r="K10" i="3"/>
  <c r="I10" i="3" l="1"/>
  <c r="O52" i="19"/>
  <c r="O49" i="19"/>
  <c r="O48" i="19"/>
  <c r="O46" i="19"/>
  <c r="O45" i="19"/>
  <c r="O42" i="19"/>
  <c r="O41" i="19"/>
  <c r="O40" i="19"/>
  <c r="O39" i="19"/>
  <c r="O37" i="19"/>
  <c r="O36" i="19"/>
  <c r="O34" i="19"/>
  <c r="O33" i="19"/>
  <c r="O31" i="19"/>
  <c r="O30" i="19"/>
  <c r="O28" i="19"/>
  <c r="O24" i="19"/>
  <c r="O22" i="19"/>
  <c r="O21" i="19"/>
  <c r="O20" i="19"/>
  <c r="O19" i="19"/>
  <c r="O17" i="19"/>
  <c r="O14" i="19"/>
  <c r="O13" i="19"/>
  <c r="O12" i="19"/>
  <c r="O11" i="19"/>
  <c r="O10" i="19"/>
  <c r="O9" i="19"/>
  <c r="O8" i="19"/>
  <c r="O6" i="19"/>
  <c r="O5" i="19"/>
  <c r="N55" i="19"/>
  <c r="N54" i="19"/>
  <c r="N53" i="19"/>
  <c r="N52" i="19"/>
  <c r="N49" i="19"/>
  <c r="N48" i="19"/>
  <c r="N47" i="19"/>
  <c r="N46" i="19"/>
  <c r="N45" i="19"/>
  <c r="N44" i="19"/>
  <c r="N43" i="19"/>
  <c r="N42" i="19"/>
  <c r="N41" i="19"/>
  <c r="N40" i="19"/>
  <c r="N39" i="19"/>
  <c r="N37" i="19"/>
  <c r="N36" i="19"/>
  <c r="N35" i="19"/>
  <c r="N34" i="19"/>
  <c r="N33" i="19"/>
  <c r="N32" i="19"/>
  <c r="N31" i="19"/>
  <c r="N30" i="19"/>
  <c r="N29" i="19"/>
  <c r="N28" i="19"/>
  <c r="N27" i="19"/>
  <c r="N26" i="19"/>
  <c r="N25" i="19"/>
  <c r="N24" i="19"/>
  <c r="N23" i="19"/>
  <c r="N22" i="19"/>
  <c r="N21" i="19"/>
  <c r="N20" i="19"/>
  <c r="N19" i="19"/>
  <c r="N18" i="19"/>
  <c r="N17" i="19"/>
  <c r="N15" i="19"/>
  <c r="N14" i="19"/>
  <c r="N13" i="19"/>
  <c r="N12" i="19"/>
  <c r="N11" i="19"/>
  <c r="N10" i="19"/>
  <c r="N9" i="19"/>
  <c r="N8" i="19"/>
  <c r="N7" i="19"/>
  <c r="N6" i="19"/>
  <c r="N5" i="19"/>
  <c r="O54" i="19" l="1"/>
  <c r="O35" i="19"/>
  <c r="O27" i="19" l="1"/>
  <c r="O43" i="19"/>
  <c r="O53" i="19"/>
  <c r="A56" i="13" l="1"/>
  <c r="B56" i="13" s="1"/>
  <c r="F53" i="19"/>
  <c r="G53" i="19"/>
  <c r="H53" i="19"/>
  <c r="I53" i="19"/>
  <c r="J53" i="19"/>
  <c r="K53" i="19"/>
  <c r="L53" i="19"/>
  <c r="M53" i="19"/>
  <c r="A53" i="19"/>
  <c r="F49" i="19"/>
  <c r="G49" i="19"/>
  <c r="J49" i="19"/>
  <c r="K49" i="19"/>
  <c r="L49" i="19"/>
  <c r="M49" i="19"/>
  <c r="A49" i="19"/>
  <c r="A50" i="19"/>
  <c r="A51" i="19"/>
  <c r="B51" i="19" s="1"/>
  <c r="F46" i="19"/>
  <c r="G46" i="19"/>
  <c r="J46" i="19"/>
  <c r="K46" i="19"/>
  <c r="L46" i="19"/>
  <c r="M46" i="19"/>
  <c r="F47" i="19"/>
  <c r="G47" i="19"/>
  <c r="J47" i="19"/>
  <c r="K47" i="19"/>
  <c r="L47" i="19"/>
  <c r="M47" i="19"/>
  <c r="A46" i="19"/>
  <c r="A47" i="19"/>
  <c r="F44" i="19"/>
  <c r="G44" i="19"/>
  <c r="J44" i="19"/>
  <c r="K44" i="19"/>
  <c r="L44" i="19"/>
  <c r="M44" i="19"/>
  <c r="A44" i="19"/>
  <c r="F42" i="19"/>
  <c r="G42" i="19"/>
  <c r="J42" i="19"/>
  <c r="K42" i="19"/>
  <c r="L42" i="19"/>
  <c r="M42" i="19"/>
  <c r="F41" i="19"/>
  <c r="G41" i="19"/>
  <c r="J41" i="19"/>
  <c r="K41" i="19"/>
  <c r="L41" i="19"/>
  <c r="M41" i="19"/>
  <c r="F40" i="19"/>
  <c r="G40" i="19"/>
  <c r="H40" i="19"/>
  <c r="I40" i="19"/>
  <c r="J40" i="19"/>
  <c r="K40" i="19"/>
  <c r="L40" i="19"/>
  <c r="M40" i="19"/>
  <c r="A40" i="19"/>
  <c r="A41" i="19"/>
  <c r="A42" i="19"/>
  <c r="F39" i="19"/>
  <c r="G39" i="19"/>
  <c r="H39" i="19"/>
  <c r="I39" i="19"/>
  <c r="J39" i="19"/>
  <c r="K39" i="19"/>
  <c r="F32" i="19"/>
  <c r="G32" i="19"/>
  <c r="J32" i="19"/>
  <c r="K32" i="19"/>
  <c r="L32" i="19"/>
  <c r="M32" i="19"/>
  <c r="F33" i="19"/>
  <c r="G33" i="19"/>
  <c r="J33" i="19"/>
  <c r="K33" i="19"/>
  <c r="L33" i="19"/>
  <c r="M33" i="19"/>
  <c r="F34" i="19"/>
  <c r="G34" i="19"/>
  <c r="J34" i="19"/>
  <c r="K34" i="19"/>
  <c r="L34" i="19"/>
  <c r="M34" i="19"/>
  <c r="F35" i="19"/>
  <c r="G35" i="19"/>
  <c r="J35" i="19"/>
  <c r="K35" i="19"/>
  <c r="L35" i="19"/>
  <c r="M35" i="19"/>
  <c r="F36" i="19"/>
  <c r="G36" i="19"/>
  <c r="J36" i="19"/>
  <c r="K36" i="19"/>
  <c r="L36" i="19"/>
  <c r="M36" i="19"/>
  <c r="F37" i="19"/>
  <c r="G37" i="19"/>
  <c r="J37" i="19"/>
  <c r="K37" i="19"/>
  <c r="L37" i="19"/>
  <c r="M37" i="19"/>
  <c r="A33" i="19"/>
  <c r="A34" i="19"/>
  <c r="A35" i="19"/>
  <c r="A36" i="19"/>
  <c r="A37" i="19"/>
  <c r="A39" i="19"/>
  <c r="A32" i="19"/>
  <c r="F30" i="19"/>
  <c r="G30" i="19"/>
  <c r="J30" i="19"/>
  <c r="K30" i="19"/>
  <c r="L30" i="19"/>
  <c r="M30" i="19"/>
  <c r="A30" i="19"/>
  <c r="F29" i="19"/>
  <c r="G29" i="19"/>
  <c r="J29" i="19"/>
  <c r="K29" i="19"/>
  <c r="L29" i="19"/>
  <c r="M29" i="19"/>
  <c r="A29" i="19"/>
  <c r="B29" i="19" s="1"/>
  <c r="M27" i="19"/>
  <c r="L27" i="19"/>
  <c r="K27" i="19"/>
  <c r="J27" i="19"/>
  <c r="I27" i="19"/>
  <c r="H27" i="19"/>
  <c r="G27" i="19"/>
  <c r="F27" i="19"/>
  <c r="A27" i="19"/>
  <c r="B27" i="19" s="1"/>
  <c r="F26" i="19"/>
  <c r="G26" i="19"/>
  <c r="J26" i="19"/>
  <c r="K26" i="19"/>
  <c r="L26" i="19"/>
  <c r="M26" i="19"/>
  <c r="A26" i="19"/>
  <c r="B26" i="19" s="1"/>
  <c r="A50" i="13" l="1"/>
  <c r="B50" i="19"/>
  <c r="A39" i="13"/>
  <c r="B39" i="19"/>
  <c r="A47" i="13"/>
  <c r="B47" i="19"/>
  <c r="A49" i="13"/>
  <c r="B49" i="19"/>
  <c r="A36" i="13"/>
  <c r="B36" i="19"/>
  <c r="A42" i="13"/>
  <c r="B42" i="19"/>
  <c r="A30" i="13"/>
  <c r="B30" i="19"/>
  <c r="A44" i="13"/>
  <c r="B44" i="19"/>
  <c r="A35" i="13"/>
  <c r="B35" i="19"/>
  <c r="A41" i="13"/>
  <c r="B41" i="19"/>
  <c r="A32" i="13"/>
  <c r="B32" i="19"/>
  <c r="A37" i="13"/>
  <c r="B37" i="19"/>
  <c r="A46" i="13"/>
  <c r="B46" i="19"/>
  <c r="A34" i="13"/>
  <c r="B34" i="19"/>
  <c r="A40" i="13"/>
  <c r="B40" i="19"/>
  <c r="A33" i="13"/>
  <c r="B33" i="19"/>
  <c r="A53" i="13"/>
  <c r="B53" i="19"/>
  <c r="A51" i="13"/>
  <c r="F20" i="19"/>
  <c r="G20" i="19"/>
  <c r="J20" i="19"/>
  <c r="K20" i="19"/>
  <c r="M20" i="19"/>
  <c r="A20" i="19"/>
  <c r="A20" i="13" l="1"/>
  <c r="B20" i="19"/>
  <c r="O47" i="19"/>
  <c r="O44" i="19"/>
  <c r="O15" i="19"/>
  <c r="O32" i="19"/>
  <c r="O29" i="19"/>
  <c r="I29" i="19"/>
  <c r="H29" i="19"/>
  <c r="O26" i="19"/>
  <c r="O25" i="19"/>
  <c r="O23" i="19"/>
  <c r="O55" i="19"/>
  <c r="O18" i="19"/>
  <c r="O7" i="19"/>
  <c r="I20" i="19" l="1"/>
  <c r="I26" i="19"/>
  <c r="I25" i="19"/>
  <c r="I47" i="19"/>
  <c r="I30" i="19"/>
  <c r="I32" i="19"/>
  <c r="I33" i="19"/>
  <c r="I34" i="19"/>
  <c r="I35" i="19"/>
  <c r="I36" i="19"/>
  <c r="I37" i="19"/>
  <c r="I41" i="19"/>
  <c r="I42" i="19"/>
  <c r="I44" i="19"/>
  <c r="I46" i="19"/>
  <c r="I49" i="19"/>
  <c r="H20" i="19"/>
  <c r="H26" i="19"/>
  <c r="H47" i="19"/>
  <c r="H30" i="19"/>
  <c r="H32" i="19"/>
  <c r="H33" i="19"/>
  <c r="H34" i="19"/>
  <c r="H35" i="19"/>
  <c r="H36" i="19"/>
  <c r="H37" i="19"/>
  <c r="H41" i="19"/>
  <c r="H42" i="19"/>
  <c r="H44" i="19"/>
  <c r="H46" i="19"/>
  <c r="H49" i="19"/>
  <c r="A1" i="19"/>
  <c r="A5" i="19"/>
  <c r="B5" i="19" s="1"/>
  <c r="F5" i="19"/>
  <c r="G5" i="19"/>
  <c r="J5" i="19"/>
  <c r="K5" i="19"/>
  <c r="L5" i="19"/>
  <c r="M5" i="19"/>
  <c r="A6" i="19"/>
  <c r="B6" i="19" s="1"/>
  <c r="F6" i="19"/>
  <c r="G6" i="19"/>
  <c r="J6" i="19"/>
  <c r="K6" i="19"/>
  <c r="L6" i="19"/>
  <c r="M6" i="19"/>
  <c r="A7" i="19"/>
  <c r="B7" i="19" s="1"/>
  <c r="F7" i="19"/>
  <c r="G7" i="19"/>
  <c r="J7" i="19"/>
  <c r="K7" i="19"/>
  <c r="L7" i="19"/>
  <c r="M7" i="19"/>
  <c r="A8" i="19"/>
  <c r="B8" i="19" s="1"/>
  <c r="F8" i="19"/>
  <c r="G8" i="19"/>
  <c r="J8" i="19"/>
  <c r="K8" i="19"/>
  <c r="L8" i="19"/>
  <c r="M8" i="19"/>
  <c r="A9" i="19"/>
  <c r="B9" i="19" s="1"/>
  <c r="F9" i="19"/>
  <c r="G9" i="19"/>
  <c r="J9" i="19"/>
  <c r="K9" i="19"/>
  <c r="L9" i="19"/>
  <c r="M9" i="19"/>
  <c r="A10" i="19"/>
  <c r="B10" i="19" s="1"/>
  <c r="F10" i="19"/>
  <c r="G10" i="19"/>
  <c r="J10" i="19"/>
  <c r="K10" i="19"/>
  <c r="L10" i="19"/>
  <c r="M10" i="19"/>
  <c r="A11" i="19"/>
  <c r="B11" i="19" s="1"/>
  <c r="F11" i="19"/>
  <c r="G11" i="19"/>
  <c r="J11" i="19"/>
  <c r="K11" i="19"/>
  <c r="L11" i="19"/>
  <c r="M11" i="19"/>
  <c r="A12" i="19"/>
  <c r="B12" i="19" s="1"/>
  <c r="F12" i="19"/>
  <c r="G12" i="19"/>
  <c r="J12" i="19"/>
  <c r="K12" i="19"/>
  <c r="L12" i="19"/>
  <c r="M12" i="19"/>
  <c r="A13" i="19"/>
  <c r="B13" i="19" s="1"/>
  <c r="F13" i="19"/>
  <c r="G13" i="19"/>
  <c r="J13" i="19"/>
  <c r="K13" i="19"/>
  <c r="L13" i="19"/>
  <c r="M13" i="19"/>
  <c r="A14" i="19"/>
  <c r="B14" i="19" s="1"/>
  <c r="F14" i="19"/>
  <c r="G14" i="19"/>
  <c r="J14" i="19"/>
  <c r="K14" i="19"/>
  <c r="L14" i="19"/>
  <c r="M14" i="19"/>
  <c r="A15" i="19"/>
  <c r="B15" i="19" s="1"/>
  <c r="F15" i="19"/>
  <c r="G15" i="19"/>
  <c r="J15" i="19"/>
  <c r="K15" i="19"/>
  <c r="L15" i="19"/>
  <c r="M15" i="19"/>
  <c r="A17" i="19"/>
  <c r="B17" i="19" s="1"/>
  <c r="F17" i="19"/>
  <c r="G17" i="19"/>
  <c r="J17" i="19"/>
  <c r="K17" i="19"/>
  <c r="L17" i="19"/>
  <c r="M17" i="19"/>
  <c r="A18" i="19"/>
  <c r="B18" i="19" s="1"/>
  <c r="F18" i="19"/>
  <c r="G18" i="19"/>
  <c r="J18" i="19"/>
  <c r="K18" i="19"/>
  <c r="L18" i="19"/>
  <c r="M18" i="19"/>
  <c r="A19" i="19"/>
  <c r="B19" i="19" s="1"/>
  <c r="F19" i="19"/>
  <c r="G19" i="19"/>
  <c r="J19" i="19"/>
  <c r="K19" i="19"/>
  <c r="L19" i="19"/>
  <c r="M19" i="19"/>
  <c r="A21" i="19"/>
  <c r="F21" i="19"/>
  <c r="G21" i="19"/>
  <c r="J21" i="19"/>
  <c r="K21" i="19"/>
  <c r="L21" i="19"/>
  <c r="M21" i="19"/>
  <c r="A22" i="19"/>
  <c r="B22" i="19" s="1"/>
  <c r="F22" i="19"/>
  <c r="G22" i="19"/>
  <c r="J22" i="19"/>
  <c r="K22" i="19"/>
  <c r="L22" i="19"/>
  <c r="M22" i="19"/>
  <c r="A23" i="19"/>
  <c r="B23" i="19" s="1"/>
  <c r="F23" i="19"/>
  <c r="G23" i="19"/>
  <c r="J23" i="19"/>
  <c r="K23" i="19"/>
  <c r="L23" i="19"/>
  <c r="M23" i="19"/>
  <c r="A24" i="19"/>
  <c r="B24" i="19" s="1"/>
  <c r="F24" i="19"/>
  <c r="G24" i="19"/>
  <c r="J24" i="19"/>
  <c r="K24" i="19"/>
  <c r="L24" i="19"/>
  <c r="M24" i="19"/>
  <c r="A25" i="19"/>
  <c r="B25" i="19" s="1"/>
  <c r="F25" i="19"/>
  <c r="G25" i="19"/>
  <c r="J25" i="19"/>
  <c r="K25" i="19"/>
  <c r="L25" i="19"/>
  <c r="M25" i="19"/>
  <c r="A28" i="19"/>
  <c r="B28" i="19" s="1"/>
  <c r="F28" i="19"/>
  <c r="G28" i="19"/>
  <c r="J28" i="19"/>
  <c r="K28" i="19"/>
  <c r="L28" i="19"/>
  <c r="M28" i="19"/>
  <c r="A31" i="19"/>
  <c r="F31" i="19"/>
  <c r="G31" i="19"/>
  <c r="J31" i="19"/>
  <c r="K31" i="19"/>
  <c r="L31" i="19"/>
  <c r="M31" i="19"/>
  <c r="A43" i="19"/>
  <c r="F43" i="19"/>
  <c r="G43" i="19"/>
  <c r="J43" i="19"/>
  <c r="K43" i="19"/>
  <c r="L43" i="19"/>
  <c r="M43" i="19"/>
  <c r="A45" i="19"/>
  <c r="F45" i="19"/>
  <c r="G45" i="19"/>
  <c r="J45" i="19"/>
  <c r="K45" i="19"/>
  <c r="L45" i="19"/>
  <c r="M45" i="19"/>
  <c r="A48" i="19"/>
  <c r="F48" i="19"/>
  <c r="G48" i="19"/>
  <c r="J48" i="19"/>
  <c r="K48" i="19"/>
  <c r="L48" i="19"/>
  <c r="M48" i="19"/>
  <c r="A52" i="19"/>
  <c r="B52" i="19" s="1"/>
  <c r="F52" i="19"/>
  <c r="G52" i="19"/>
  <c r="J52" i="19"/>
  <c r="K52" i="19"/>
  <c r="L52" i="19"/>
  <c r="M52" i="19"/>
  <c r="A54" i="19"/>
  <c r="F54" i="19"/>
  <c r="G54" i="19"/>
  <c r="J54" i="19"/>
  <c r="K54" i="19"/>
  <c r="L54" i="19"/>
  <c r="M54" i="19"/>
  <c r="A55" i="19"/>
  <c r="F55" i="19"/>
  <c r="G55" i="19"/>
  <c r="J55" i="19"/>
  <c r="K55" i="19"/>
  <c r="L55" i="19"/>
  <c r="M55" i="19"/>
  <c r="A54" i="13" l="1"/>
  <c r="B54" i="19"/>
  <c r="A55" i="13"/>
  <c r="B55" i="19"/>
  <c r="F56" i="19"/>
  <c r="A31" i="13"/>
  <c r="B31" i="19"/>
  <c r="A48" i="13"/>
  <c r="B48" i="19"/>
  <c r="A43" i="13"/>
  <c r="B43" i="19"/>
  <c r="B21" i="19"/>
  <c r="A45" i="13"/>
  <c r="B45" i="19"/>
  <c r="I54" i="19"/>
  <c r="H25" i="19"/>
  <c r="H54" i="19"/>
  <c r="G56" i="19"/>
  <c r="O56" i="19"/>
  <c r="N56" i="19"/>
  <c r="L56" i="19"/>
  <c r="J56" i="19"/>
  <c r="K56" i="19" l="1"/>
  <c r="M56" i="19" l="1"/>
  <c r="I10" i="19" l="1"/>
  <c r="I11" i="19"/>
  <c r="I13" i="19"/>
  <c r="I19" i="19"/>
  <c r="K26" i="3"/>
  <c r="K29" i="3"/>
  <c r="K30" i="3"/>
  <c r="K31" i="3"/>
  <c r="K36" i="3"/>
  <c r="K37" i="3"/>
  <c r="K38" i="3"/>
  <c r="K39" i="3"/>
  <c r="K41" i="3"/>
  <c r="K44" i="3"/>
  <c r="K43" i="3"/>
  <c r="K46" i="3"/>
  <c r="K50" i="3"/>
  <c r="K51" i="3"/>
  <c r="K53" i="3"/>
  <c r="K52" i="3"/>
  <c r="K45" i="3"/>
  <c r="K55" i="3"/>
  <c r="K27" i="3"/>
  <c r="K95" i="3"/>
  <c r="K57" i="3"/>
  <c r="K87" i="3"/>
  <c r="I31" i="19"/>
  <c r="K59" i="3"/>
  <c r="K60" i="3"/>
  <c r="K62" i="3"/>
  <c r="K63" i="3"/>
  <c r="K64" i="3"/>
  <c r="K67" i="3"/>
  <c r="K77" i="3"/>
  <c r="K79" i="3"/>
  <c r="I45" i="19"/>
  <c r="K84" i="3"/>
  <c r="K85" i="3"/>
  <c r="K88" i="3"/>
  <c r="K90" i="3"/>
  <c r="K94" i="3"/>
  <c r="K93" i="3"/>
  <c r="K96" i="3"/>
  <c r="E48" i="19" s="1"/>
  <c r="K97" i="3"/>
  <c r="K99" i="3"/>
  <c r="K100" i="3"/>
  <c r="K102" i="3"/>
  <c r="K105" i="3"/>
  <c r="K107" i="3"/>
  <c r="K106" i="3"/>
  <c r="K108" i="3"/>
  <c r="K111" i="3"/>
  <c r="K109" i="3"/>
  <c r="K113" i="3"/>
  <c r="K112" i="3"/>
  <c r="K114" i="3"/>
  <c r="E54" i="19" s="1"/>
  <c r="I55" i="19"/>
  <c r="I8" i="19"/>
  <c r="I5" i="19"/>
  <c r="H7" i="19"/>
  <c r="H9" i="19"/>
  <c r="H13" i="19"/>
  <c r="H15" i="19"/>
  <c r="H19" i="19"/>
  <c r="H22" i="19"/>
  <c r="H28" i="19"/>
  <c r="H45" i="19"/>
  <c r="D48" i="19"/>
  <c r="J105" i="3"/>
  <c r="J107" i="3"/>
  <c r="J106" i="3"/>
  <c r="J108" i="3"/>
  <c r="J111" i="3"/>
  <c r="J109" i="3"/>
  <c r="J113" i="3"/>
  <c r="J112" i="3"/>
  <c r="J114" i="3"/>
  <c r="D54" i="19" s="1"/>
  <c r="K15" i="3"/>
  <c r="K5" i="3"/>
  <c r="K40" i="3"/>
  <c r="K48" i="3"/>
  <c r="K56" i="3"/>
  <c r="K91" i="3"/>
  <c r="E47" i="19" s="1"/>
  <c r="K65" i="3"/>
  <c r="K74" i="3"/>
  <c r="K81" i="3"/>
  <c r="E42" i="19" s="1"/>
  <c r="K92" i="3"/>
  <c r="L116" i="3"/>
  <c r="I88" i="3" l="1"/>
  <c r="I95" i="3"/>
  <c r="I27" i="3"/>
  <c r="I65" i="3"/>
  <c r="I26" i="3"/>
  <c r="I85" i="3"/>
  <c r="I38" i="3"/>
  <c r="I100" i="3"/>
  <c r="I90" i="3"/>
  <c r="I39" i="3"/>
  <c r="I48" i="3"/>
  <c r="I37" i="3"/>
  <c r="I46" i="3"/>
  <c r="I60" i="3"/>
  <c r="I84" i="3"/>
  <c r="I51" i="3"/>
  <c r="I41" i="3"/>
  <c r="I79" i="3"/>
  <c r="I40" i="3"/>
  <c r="I31" i="3"/>
  <c r="I29" i="3"/>
  <c r="I112" i="3"/>
  <c r="K58" i="3"/>
  <c r="E30" i="19" s="1"/>
  <c r="K98" i="3"/>
  <c r="E49" i="19" s="1"/>
  <c r="K82" i="3"/>
  <c r="E45" i="19" s="1"/>
  <c r="K17" i="3"/>
  <c r="E13" i="19" s="1"/>
  <c r="K34" i="3"/>
  <c r="D9" i="19"/>
  <c r="K42" i="3"/>
  <c r="E27" i="19" s="1"/>
  <c r="K25" i="3"/>
  <c r="D32" i="19"/>
  <c r="K61" i="3"/>
  <c r="D49" i="19"/>
  <c r="D30" i="19"/>
  <c r="K69" i="3"/>
  <c r="E34" i="19" s="1"/>
  <c r="K110" i="3"/>
  <c r="E53" i="19" s="1"/>
  <c r="D29" i="19"/>
  <c r="D15" i="19"/>
  <c r="K9" i="3"/>
  <c r="E8" i="19" s="1"/>
  <c r="D34" i="19"/>
  <c r="I48" i="19"/>
  <c r="K14" i="3"/>
  <c r="K71" i="3"/>
  <c r="E36" i="19" s="1"/>
  <c r="K13" i="3"/>
  <c r="E11" i="19" s="1"/>
  <c r="D51" i="19"/>
  <c r="D44" i="19"/>
  <c r="D27" i="19"/>
  <c r="D26" i="19"/>
  <c r="H24" i="19"/>
  <c r="D21" i="19"/>
  <c r="H21" i="19"/>
  <c r="H12" i="19"/>
  <c r="D6" i="19"/>
  <c r="H6" i="19"/>
  <c r="K78" i="3"/>
  <c r="E40" i="19" s="1"/>
  <c r="I43" i="19"/>
  <c r="K70" i="3"/>
  <c r="E35" i="19" s="1"/>
  <c r="K28" i="3"/>
  <c r="E23" i="19" s="1"/>
  <c r="I23" i="19"/>
  <c r="K33" i="3"/>
  <c r="I17" i="19"/>
  <c r="K80" i="3"/>
  <c r="E41" i="19" s="1"/>
  <c r="K21" i="3"/>
  <c r="I18" i="19"/>
  <c r="D5" i="19"/>
  <c r="H5" i="19"/>
  <c r="H11" i="19"/>
  <c r="K20" i="3"/>
  <c r="I15" i="19"/>
  <c r="K11" i="3"/>
  <c r="E9" i="19" s="1"/>
  <c r="I9" i="19"/>
  <c r="K89" i="3"/>
  <c r="E46" i="19" s="1"/>
  <c r="K47" i="3"/>
  <c r="D33" i="19"/>
  <c r="D42" i="19"/>
  <c r="H31" i="19"/>
  <c r="K101" i="3"/>
  <c r="E50" i="19" s="1"/>
  <c r="K68" i="3"/>
  <c r="E33" i="19" s="1"/>
  <c r="K19" i="3"/>
  <c r="I14" i="19"/>
  <c r="D8" i="19"/>
  <c r="H8" i="19"/>
  <c r="K115" i="3"/>
  <c r="E55" i="19" s="1"/>
  <c r="D50" i="19"/>
  <c r="K22" i="3"/>
  <c r="E20" i="19" s="1"/>
  <c r="D7" i="19"/>
  <c r="J115" i="3"/>
  <c r="D55" i="19" s="1"/>
  <c r="H55" i="19"/>
  <c r="D46" i="19"/>
  <c r="D41" i="19"/>
  <c r="D37" i="19"/>
  <c r="H48" i="19"/>
  <c r="D18" i="19"/>
  <c r="H18" i="19"/>
  <c r="H10" i="19"/>
  <c r="K8" i="3"/>
  <c r="E7" i="19" s="1"/>
  <c r="I7" i="19"/>
  <c r="K103" i="3"/>
  <c r="E51" i="19" s="1"/>
  <c r="K83" i="3"/>
  <c r="E44" i="19" s="1"/>
  <c r="E39" i="19"/>
  <c r="I22" i="19"/>
  <c r="K72" i="3"/>
  <c r="E37" i="19" s="1"/>
  <c r="D36" i="19"/>
  <c r="D23" i="19"/>
  <c r="H23" i="19"/>
  <c r="H17" i="19"/>
  <c r="K7" i="3"/>
  <c r="E6" i="19" s="1"/>
  <c r="I6" i="19"/>
  <c r="K66" i="3"/>
  <c r="E32" i="19" s="1"/>
  <c r="K49" i="3"/>
  <c r="E29" i="19" s="1"/>
  <c r="I28" i="19"/>
  <c r="K35" i="3"/>
  <c r="I24" i="19"/>
  <c r="K23" i="3"/>
  <c r="E21" i="19" s="1"/>
  <c r="I21" i="19"/>
  <c r="K16" i="3"/>
  <c r="I12" i="19"/>
  <c r="D52" i="19"/>
  <c r="H52" i="19"/>
  <c r="H14" i="19"/>
  <c r="J110" i="3"/>
  <c r="D53" i="19" s="1"/>
  <c r="D40" i="19"/>
  <c r="H43" i="19"/>
  <c r="D35" i="19"/>
  <c r="K104" i="3"/>
  <c r="E52" i="19" s="1"/>
  <c r="I52" i="19"/>
  <c r="I36" i="3"/>
  <c r="K54" i="3"/>
  <c r="I54" i="3" s="1"/>
  <c r="I111" i="3"/>
  <c r="I24" i="3" l="1"/>
  <c r="E14" i="19"/>
  <c r="D39" i="19"/>
  <c r="I75" i="3"/>
  <c r="B39" i="13" s="1"/>
  <c r="D31" i="19"/>
  <c r="D47" i="19"/>
  <c r="E25" i="19"/>
  <c r="E24" i="19"/>
  <c r="E26" i="19"/>
  <c r="E15" i="19"/>
  <c r="D10" i="19"/>
  <c r="E12" i="19"/>
  <c r="D12" i="19"/>
  <c r="D11" i="19"/>
  <c r="D25" i="19"/>
  <c r="E22" i="19"/>
  <c r="D22" i="19"/>
  <c r="E18" i="19"/>
  <c r="E43" i="19"/>
  <c r="D43" i="19"/>
  <c r="D14" i="19"/>
  <c r="E28" i="19"/>
  <c r="D24" i="19"/>
  <c r="D45" i="19"/>
  <c r="E31" i="19"/>
  <c r="D13" i="19"/>
  <c r="D19" i="19"/>
  <c r="E19" i="19"/>
  <c r="E17" i="19"/>
  <c r="D28" i="19"/>
  <c r="D17" i="19"/>
  <c r="I56" i="19"/>
  <c r="E56" i="19" s="1"/>
  <c r="H56" i="19"/>
  <c r="D56" i="19" s="1"/>
  <c r="I45" i="3"/>
  <c r="C56" i="19" l="1"/>
  <c r="S116" i="3"/>
  <c r="A23" i="13"/>
  <c r="I5" i="3" l="1"/>
  <c r="I67" i="3"/>
  <c r="I23" i="3"/>
  <c r="I113" i="3"/>
  <c r="C5" i="19" l="1"/>
  <c r="C21" i="19"/>
  <c r="I98" i="3"/>
  <c r="I102" i="3"/>
  <c r="I106" i="3"/>
  <c r="B49" i="13" l="1"/>
  <c r="C49" i="19"/>
  <c r="I96" i="3"/>
  <c r="I82" i="3"/>
  <c r="I70" i="3"/>
  <c r="I78" i="3"/>
  <c r="I108" i="3"/>
  <c r="I97" i="3"/>
  <c r="I94" i="3"/>
  <c r="I83" i="3"/>
  <c r="C39" i="19"/>
  <c r="I71" i="3"/>
  <c r="I66" i="3"/>
  <c r="I62" i="3"/>
  <c r="I104" i="3"/>
  <c r="I91" i="3"/>
  <c r="I58" i="3"/>
  <c r="I110" i="3"/>
  <c r="I101" i="3"/>
  <c r="I92" i="3"/>
  <c r="I81" i="3"/>
  <c r="I77" i="3"/>
  <c r="I74" i="3"/>
  <c r="I69" i="3"/>
  <c r="I64" i="3"/>
  <c r="I59" i="3"/>
  <c r="I52" i="3"/>
  <c r="I103" i="3"/>
  <c r="I89" i="3"/>
  <c r="I80" i="3"/>
  <c r="I68" i="3"/>
  <c r="I63" i="3"/>
  <c r="I56" i="3"/>
  <c r="I53" i="3"/>
  <c r="I105" i="3"/>
  <c r="I72" i="3"/>
  <c r="I87" i="3"/>
  <c r="I57" i="3"/>
  <c r="I55" i="3"/>
  <c r="I109" i="3"/>
  <c r="I93" i="3"/>
  <c r="I76" i="3"/>
  <c r="I61" i="3"/>
  <c r="I50" i="3"/>
  <c r="I86" i="3"/>
  <c r="A25" i="13"/>
  <c r="C52" i="19" l="1"/>
  <c r="B45" i="13"/>
  <c r="B36" i="13"/>
  <c r="B44" i="13"/>
  <c r="B43" i="13"/>
  <c r="B33" i="13"/>
  <c r="B46" i="13"/>
  <c r="B31" i="13"/>
  <c r="B34" i="13"/>
  <c r="B48" i="13"/>
  <c r="B41" i="13"/>
  <c r="B51" i="13"/>
  <c r="B53" i="13"/>
  <c r="B30" i="13"/>
  <c r="B32" i="13"/>
  <c r="B40" i="13"/>
  <c r="B42" i="13"/>
  <c r="B35" i="13"/>
  <c r="B37" i="13"/>
  <c r="B47" i="13"/>
  <c r="C50" i="19"/>
  <c r="B50" i="13"/>
  <c r="C51" i="19"/>
  <c r="C41" i="19"/>
  <c r="C42" i="19"/>
  <c r="C32" i="19"/>
  <c r="C40" i="19"/>
  <c r="C36" i="19"/>
  <c r="C35" i="19"/>
  <c r="C46" i="19"/>
  <c r="C37" i="19"/>
  <c r="C53" i="19"/>
  <c r="C44" i="19"/>
  <c r="C48" i="19"/>
  <c r="C30" i="19"/>
  <c r="C33" i="19"/>
  <c r="C34" i="19"/>
  <c r="C47" i="19"/>
  <c r="C43" i="19"/>
  <c r="C45" i="19"/>
  <c r="C31" i="19"/>
  <c r="Q116" i="3" l="1"/>
  <c r="P116" i="3"/>
  <c r="U116" i="3"/>
  <c r="T116" i="3"/>
  <c r="I13" i="3" l="1"/>
  <c r="A5" i="13"/>
  <c r="B5" i="13" l="1"/>
  <c r="I20" i="3"/>
  <c r="I42" i="3"/>
  <c r="I7" i="3"/>
  <c r="I11" i="3"/>
  <c r="I15" i="3"/>
  <c r="I44" i="3"/>
  <c r="I8" i="3"/>
  <c r="I47" i="3"/>
  <c r="I34" i="3"/>
  <c r="I21" i="3"/>
  <c r="I17" i="3"/>
  <c r="I43" i="3"/>
  <c r="I35" i="3"/>
  <c r="I25" i="3"/>
  <c r="I33" i="3"/>
  <c r="I16" i="3"/>
  <c r="I28" i="3"/>
  <c r="I22" i="3"/>
  <c r="I19" i="3"/>
  <c r="I14" i="3"/>
  <c r="I30" i="3"/>
  <c r="I49" i="3"/>
  <c r="I9" i="3"/>
  <c r="C7" i="19" l="1"/>
  <c r="C9" i="19"/>
  <c r="B25" i="13"/>
  <c r="C11" i="19"/>
  <c r="C8" i="19"/>
  <c r="C6" i="19"/>
  <c r="C23" i="19"/>
  <c r="C22" i="19"/>
  <c r="B23" i="13"/>
  <c r="C26" i="19"/>
  <c r="C20" i="19"/>
  <c r="B20" i="13"/>
  <c r="C27" i="19"/>
  <c r="C13" i="19"/>
  <c r="C17" i="19"/>
  <c r="C28" i="19"/>
  <c r="C29" i="19"/>
  <c r="C14" i="19"/>
  <c r="C19" i="19"/>
  <c r="C18" i="19"/>
  <c r="C15" i="19"/>
  <c r="C25" i="19"/>
  <c r="C24" i="19"/>
  <c r="C12" i="19"/>
  <c r="R116" i="3"/>
  <c r="I114" i="3" l="1"/>
  <c r="A21" i="13"/>
  <c r="B21" i="13" s="1"/>
  <c r="B54" i="13" l="1"/>
  <c r="C54" i="19"/>
  <c r="A52" i="13"/>
  <c r="B52" i="13" s="1"/>
  <c r="A28" i="13"/>
  <c r="B28" i="13" s="1"/>
  <c r="A27" i="13"/>
  <c r="B27" i="13" s="1"/>
  <c r="A26" i="13"/>
  <c r="B26" i="13" s="1"/>
  <c r="A24" i="13"/>
  <c r="B24" i="13" s="1"/>
  <c r="A22" i="13"/>
  <c r="B22" i="13" s="1"/>
  <c r="A19" i="13"/>
  <c r="B19" i="13" s="1"/>
  <c r="A18" i="13"/>
  <c r="B18" i="13" s="1"/>
  <c r="A17" i="13"/>
  <c r="B17" i="13" s="1"/>
  <c r="A15" i="13"/>
  <c r="B15" i="13" s="1"/>
  <c r="A14" i="13"/>
  <c r="B14" i="13" s="1"/>
  <c r="A13" i="13"/>
  <c r="B13" i="13" s="1"/>
  <c r="A12" i="13"/>
  <c r="B12" i="13" s="1"/>
  <c r="A11" i="13"/>
  <c r="B11" i="13" s="1"/>
  <c r="A10" i="13"/>
  <c r="A9" i="13"/>
  <c r="B9" i="13" s="1"/>
  <c r="A8" i="13"/>
  <c r="B8" i="13" s="1"/>
  <c r="A7" i="13"/>
  <c r="B7" i="13" s="1"/>
  <c r="A6" i="13"/>
  <c r="B6" i="13" l="1"/>
  <c r="A4" i="13"/>
  <c r="C57" i="13"/>
  <c r="D57" i="13"/>
  <c r="B57" i="13" l="1"/>
  <c r="I115" i="3" l="1"/>
  <c r="B55" i="13" l="1"/>
  <c r="C55" i="19"/>
  <c r="A29" i="13"/>
  <c r="I99" i="3"/>
  <c r="M116" i="3"/>
  <c r="I107" i="3"/>
  <c r="B29" i="13" l="1"/>
  <c r="K116" i="3"/>
  <c r="I116" i="3" s="1"/>
  <c r="K12" i="3"/>
  <c r="E10" i="19" s="1"/>
  <c r="I12" i="3" l="1"/>
  <c r="E5" i="19"/>
  <c r="B10" i="13" l="1"/>
  <c r="C10" i="19"/>
</calcChain>
</file>

<file path=xl/sharedStrings.xml><?xml version="1.0" encoding="utf-8"?>
<sst xmlns="http://schemas.openxmlformats.org/spreadsheetml/2006/main" count="850" uniqueCount="282">
  <si>
    <t>Institutionsnavn</t>
  </si>
  <si>
    <t>Hørkram</t>
  </si>
  <si>
    <t>Total</t>
  </si>
  <si>
    <t>Børnehuset Birkhøj</t>
  </si>
  <si>
    <t>Børnehuset Solbjerg</t>
  </si>
  <si>
    <t>Børnehuset Søndersø</t>
  </si>
  <si>
    <t>Dalgårdens Børnehus</t>
  </si>
  <si>
    <t>Farumsødal</t>
  </si>
  <si>
    <t>Krudthuset</t>
  </si>
  <si>
    <t>Lynghuset</t>
  </si>
  <si>
    <t>Plejecenteret Solbjerghaven</t>
  </si>
  <si>
    <t>Nordvænget Vuggestue</t>
  </si>
  <si>
    <t>Lillevang - Køkken</t>
  </si>
  <si>
    <t>Børnehuset Bøgely</t>
  </si>
  <si>
    <t>Økologi %</t>
  </si>
  <si>
    <t>Hareskov Børnehus</t>
  </si>
  <si>
    <t>Skovgården</t>
  </si>
  <si>
    <t>Ryet Børnehus</t>
  </si>
  <si>
    <t>Espebo Børnecenter</t>
  </si>
  <si>
    <t>Furesø AdHd</t>
  </si>
  <si>
    <t>Børnehuset Kirke Værløse</t>
  </si>
  <si>
    <t>Åkanden</t>
  </si>
  <si>
    <t>Lillevang - Blommehaven</t>
  </si>
  <si>
    <t>Lillevang - Magnoliehaven</t>
  </si>
  <si>
    <t>Lillevang - Syrenhaven</t>
  </si>
  <si>
    <t>Hareskov skole - lærerforplejning</t>
  </si>
  <si>
    <t>Børnehuset Birkedal</t>
  </si>
  <si>
    <t>Solvang FFO, Solvognen</t>
  </si>
  <si>
    <t>Sundhedsplejen, Farum</t>
  </si>
  <si>
    <t>Økologiprocenter - alle køkkener</t>
  </si>
  <si>
    <t>Lille Værløse Skole, Autisme afdelingen</t>
  </si>
  <si>
    <t>Øko kg</t>
  </si>
  <si>
    <t>Omfattet kg</t>
  </si>
  <si>
    <t>Omfattet kg=samlet køb i kilo fraregnet salt, flaskevand, vildt, vilde fisk og nonfood</t>
  </si>
  <si>
    <t>Farum Vejgaard, BH/VS</t>
  </si>
  <si>
    <t>Svanepunktet, Rehab</t>
  </si>
  <si>
    <t>Dalgårdens Børnehus, møde</t>
  </si>
  <si>
    <t>Rådhuset Furesø Kommune + frugtordning</t>
  </si>
  <si>
    <t>Guld</t>
  </si>
  <si>
    <t>Sølv</t>
  </si>
  <si>
    <t>Bronze</t>
  </si>
  <si>
    <t>Det økologiske Spisemærke</t>
  </si>
  <si>
    <t>30-60%</t>
  </si>
  <si>
    <t>60-90%</t>
  </si>
  <si>
    <t>90-100%</t>
  </si>
  <si>
    <t>Sprogcenter Furesø</t>
  </si>
  <si>
    <t>Børnehuset Mimers Brønd</t>
  </si>
  <si>
    <t>Lille Værløse Skoles FFO 3 (Klub24 )</t>
  </si>
  <si>
    <t xml:space="preserve">Lillevang - Kornelhaven </t>
  </si>
  <si>
    <t>JDE</t>
  </si>
  <si>
    <t>Genoptræningscenteret</t>
  </si>
  <si>
    <t>Driftsgården</t>
  </si>
  <si>
    <t>Hjemmeplejen+Hjemme-og Sygeplejen</t>
  </si>
  <si>
    <t>Børnehuset Atlantis (Tidl. Børnehusene, Ryttergårdsvej)</t>
  </si>
  <si>
    <t>Furesø Skole- og Familiehus (inkl. Rådgivning, vejledn. og støtte)</t>
  </si>
  <si>
    <t>Børnehuset Vingesus</t>
  </si>
  <si>
    <t>Furesø Museer</t>
  </si>
  <si>
    <t>Hareskov Børnehus, personale</t>
  </si>
  <si>
    <t>Græshoppen, madpakker</t>
  </si>
  <si>
    <t>Lyngholmskolen, lærerforplejning + Gruppeordning(tidl. Furesøskolen)</t>
  </si>
  <si>
    <t>I alt %</t>
  </si>
  <si>
    <t xml:space="preserve">I alt stk. </t>
  </si>
  <si>
    <t>Økologiprocenter - alle kommunale køkkener med smileyordning</t>
  </si>
  <si>
    <t>Syvstjernevænge, Bofællesskabet</t>
  </si>
  <si>
    <t>Solhøjgård, Fritidshjem, selvejende</t>
  </si>
  <si>
    <t>Furesø Musikskole</t>
  </si>
  <si>
    <t>Lyngholmskolen, madkundskab</t>
  </si>
  <si>
    <t>Ryetbo</t>
  </si>
  <si>
    <t>Humlehaven, specialbørnehave</t>
  </si>
  <si>
    <t xml:space="preserve">Syvstjerneklubben, møder </t>
  </si>
  <si>
    <t xml:space="preserve">Syvstjerneskolen, madkundskab </t>
  </si>
  <si>
    <t>Solvangskolen, skolens fælleskøb</t>
  </si>
  <si>
    <t>Røde Sol (Madpakker og forældrefrugt)</t>
  </si>
  <si>
    <t>Hareskov skole, madkundskab</t>
  </si>
  <si>
    <t>Furesø Ungdomsskole</t>
  </si>
  <si>
    <t>Furesøgård, fritidsklub</t>
  </si>
  <si>
    <t xml:space="preserve">Egeskolen, skolens fælles køb </t>
  </si>
  <si>
    <t>Egeskolen, kantine</t>
  </si>
  <si>
    <t>Børnehuset Skovbakken</t>
  </si>
  <si>
    <t>Værløse Svømmehal</t>
  </si>
  <si>
    <t>Skolelandbruget</t>
  </si>
  <si>
    <t xml:space="preserve">Hareskov FFO, Læsehuset  </t>
  </si>
  <si>
    <t>HB Kødgros/Driftsgården /Tvilling/Rema vedr. Lillevang</t>
  </si>
  <si>
    <r>
      <rPr>
        <b/>
        <sz val="11"/>
        <color rgb="FF92D050"/>
        <rFont val="Calibri"/>
        <family val="2"/>
        <scheme val="minor"/>
      </rPr>
      <t>Div.købmand</t>
    </r>
    <r>
      <rPr>
        <b/>
        <sz val="11"/>
        <color theme="1"/>
        <rFont val="Calibri"/>
        <family val="2"/>
        <scheme val="minor"/>
      </rPr>
      <t>/</t>
    </r>
    <r>
      <rPr>
        <b/>
        <sz val="11"/>
        <color rgb="FF92D050"/>
        <rFont val="Calibri"/>
        <family val="2"/>
        <scheme val="minor"/>
      </rPr>
      <t>Kantinehaver Stavnsholt / Lynghuset/</t>
    </r>
    <r>
      <rPr>
        <b/>
        <sz val="11"/>
        <rFont val="Calibri"/>
        <family val="2"/>
        <scheme val="minor"/>
      </rPr>
      <t>Ryetbo</t>
    </r>
    <r>
      <rPr>
        <b/>
        <sz val="11"/>
        <color rgb="FF92D050"/>
        <rFont val="Calibri"/>
        <family val="2"/>
        <scheme val="minor"/>
      </rPr>
      <t>/Natursli</t>
    </r>
    <r>
      <rPr>
        <b/>
        <sz val="11"/>
        <color theme="1"/>
        <rFont val="Calibri"/>
        <family val="2"/>
        <scheme val="minor"/>
      </rPr>
      <t>k/Premier IS/</t>
    </r>
    <r>
      <rPr>
        <b/>
        <sz val="11"/>
        <color rgb="FF92D050"/>
        <rFont val="Calibri"/>
        <family val="2"/>
        <scheme val="minor"/>
      </rPr>
      <t>Ristet Rug</t>
    </r>
  </si>
  <si>
    <t>Kommunal Tandpleje/Tandklinikken Søndersøskolen, Nygårdsterrasserne, Kirke Værløse</t>
  </si>
  <si>
    <t>Søndersø FFO 1</t>
  </si>
  <si>
    <t>Søndersø FFO 2, Solbjerggaard</t>
  </si>
  <si>
    <t>Lille Værløse Skole, Madkundskab</t>
  </si>
  <si>
    <t>Madhus, Det danske - ekstern opgørelse uden kg, kun øko% oplyses</t>
  </si>
  <si>
    <t>Furesø Bibliotek, frugt- og kaffeordning</t>
  </si>
  <si>
    <t>Svanepunktet Plejecenter, Svane</t>
  </si>
  <si>
    <t>Svanepunktet, Bofællesskabet</t>
  </si>
  <si>
    <t>Syvstjerneskolen, møder og kontor</t>
  </si>
  <si>
    <t>Broen, specialtilbud 0. -9- kl.</t>
  </si>
  <si>
    <t>Fritidshjemmenes Andelsforening á 1986</t>
  </si>
  <si>
    <t>Paletten (Valhalla)</t>
  </si>
  <si>
    <t>Børnehuset Nørreskoven</t>
  </si>
  <si>
    <t>Anais Kulturcafé, Farum Kulturhus</t>
  </si>
  <si>
    <t>HB Kødgros, Tvilling, Driftsgården</t>
  </si>
  <si>
    <t>Dagplejen, kaffe (mad fra Mimers Brønd)</t>
  </si>
  <si>
    <t>Børnehuset Lyngholm nr. 15 (vuggest.)</t>
  </si>
  <si>
    <t>Børnehuset Lyngholm nr. 17 (børneh.)</t>
  </si>
  <si>
    <t>Fars Køkkenskole</t>
  </si>
  <si>
    <t>Hareskov Skole, natur</t>
  </si>
  <si>
    <t>Fiskebæk Naturskole</t>
  </si>
  <si>
    <t>TO numre; 200079202; 200531038</t>
  </si>
  <si>
    <t>Hørkram kundenummer</t>
  </si>
  <si>
    <t>Lille Værløse Skole, adm. (kaffe)</t>
  </si>
  <si>
    <t>Hareskov FFO - Gasværket, klub</t>
  </si>
  <si>
    <t>Skiftesporet/Social Psykiatrien</t>
  </si>
  <si>
    <t>Lille Værløse Skoles FFO 1 (Miniklub)</t>
  </si>
  <si>
    <t>Lille Værløse Skoles FFO 2 (Toppen)</t>
  </si>
  <si>
    <t>Lillestjernen FFO</t>
  </si>
  <si>
    <t>Syvstjerneklubben &amp; kantine</t>
  </si>
  <si>
    <t>Institutionstype</t>
  </si>
  <si>
    <t>Børneinstitution</t>
  </si>
  <si>
    <t>FFO+Klub</t>
  </si>
  <si>
    <t>Social+Kultur</t>
  </si>
  <si>
    <t>Skolekantiner</t>
  </si>
  <si>
    <t>Madkundskab</t>
  </si>
  <si>
    <t>Ældre</t>
  </si>
  <si>
    <t>Rådhus</t>
  </si>
  <si>
    <t>Møder m.v.</t>
  </si>
  <si>
    <t/>
  </si>
  <si>
    <t>Nettovægt (kg)</t>
  </si>
  <si>
    <t>KundeNr</t>
  </si>
  <si>
    <t>KundeNavn</t>
  </si>
  <si>
    <t>Omf.</t>
  </si>
  <si>
    <t>Øko.</t>
  </si>
  <si>
    <t>Øko%</t>
  </si>
  <si>
    <t xml:space="preserve">Ej Omf. </t>
  </si>
  <si>
    <t>Stavnsholt Børnehus</t>
  </si>
  <si>
    <t>Farum Nordby Børnehus</t>
  </si>
  <si>
    <t>Daginstitutionen Solstrålen</t>
  </si>
  <si>
    <t>Svanepunktet Plejecenter</t>
  </si>
  <si>
    <t>Stavnholtskolen</t>
  </si>
  <si>
    <t>Social Psykiatrien</t>
  </si>
  <si>
    <t>Børnehuset Lyngholm Børnehave</t>
  </si>
  <si>
    <t>Paletten</t>
  </si>
  <si>
    <t>Lille Værløse Skole</t>
  </si>
  <si>
    <t>Fritidsklubben Gasværket</t>
  </si>
  <si>
    <t>Ll Værløse Skole Ffo2 Toppen</t>
  </si>
  <si>
    <t>Lille Værløse Skole Ffo 1</t>
  </si>
  <si>
    <t>Børnehuset Lyngholm Vuggestue</t>
  </si>
  <si>
    <t>Ffo Lillestjernen</t>
  </si>
  <si>
    <t>Værløse Rådhus Frugt</t>
  </si>
  <si>
    <t>Cassiopeia Værløse Galaksen</t>
  </si>
  <si>
    <t>Slottet Gasværket</t>
  </si>
  <si>
    <t>Farum Vejgård Vuggestuen</t>
  </si>
  <si>
    <t>Børnehuset Atlantis</t>
  </si>
  <si>
    <t>Vingesus</t>
  </si>
  <si>
    <t>Lillestjernen Møde</t>
  </si>
  <si>
    <t>Syvstjerneskolen *Klub*</t>
  </si>
  <si>
    <t>Syvstjerneskolen</t>
  </si>
  <si>
    <t>Værløse Rådhus</t>
  </si>
  <si>
    <t>Aktivitetscenteret Skovgården</t>
  </si>
  <si>
    <t>Kornelhaven Gr. 3</t>
  </si>
  <si>
    <t>Åkanden Børnehus - Køkken</t>
  </si>
  <si>
    <t>Børnehuset Egetræet</t>
  </si>
  <si>
    <t>Blommehaven Gr. 3</t>
  </si>
  <si>
    <t>Magnoliehaven  - Gruppe 3</t>
  </si>
  <si>
    <t>Syrenhaven Gr. 1</t>
  </si>
  <si>
    <t>Lillevang *Køkken</t>
  </si>
  <si>
    <t>Rækkemærkater</t>
  </si>
  <si>
    <t>Hovedtotal</t>
  </si>
  <si>
    <t>Sum af Omfattet kg</t>
  </si>
  <si>
    <t>Sum af Øko kg</t>
  </si>
  <si>
    <t>Registreret hos FVST</t>
  </si>
  <si>
    <t>Ikke registreret hos FVST</t>
  </si>
  <si>
    <t>Sum af Øko%</t>
  </si>
  <si>
    <t>Nemlig.com</t>
  </si>
  <si>
    <t>Børnehuset Birkhøj - møder</t>
  </si>
  <si>
    <t>Lillestjernen FFO, møder</t>
  </si>
  <si>
    <t>Lyngholm FFO</t>
  </si>
  <si>
    <t xml:space="preserve">Stavnsholt FFO (Raketten+Turbodragen) </t>
  </si>
  <si>
    <t>Hareskov FFO Kaffe</t>
  </si>
  <si>
    <t xml:space="preserve">Søndersø, Botræningstilbud </t>
  </si>
  <si>
    <t>Customer number</t>
  </si>
  <si>
    <t>Customer name</t>
  </si>
  <si>
    <t>Bofællesskabet  Svanepunktet</t>
  </si>
  <si>
    <t>Bofællesskabet Syvstjerne Vænge</t>
  </si>
  <si>
    <t>Egeskolen</t>
  </si>
  <si>
    <t>Farumsødal integreret institution</t>
  </si>
  <si>
    <t>FFO Lillestjernen</t>
  </si>
  <si>
    <t>Ffo Lyngholm</t>
  </si>
  <si>
    <t>FFO Stavnsholt</t>
  </si>
  <si>
    <t>Fritidsklubben Solbjerggård</t>
  </si>
  <si>
    <t>Fritids-ungdomsklubben Regnbuen</t>
  </si>
  <si>
    <t>Furesøgaard fritidsklub</t>
  </si>
  <si>
    <t>Hareskov FFO</t>
  </si>
  <si>
    <t>Hareskov Skole</t>
  </si>
  <si>
    <t>Hareskov skole</t>
  </si>
  <si>
    <t>Lille Værløse Skole/ Madkundskab</t>
  </si>
  <si>
    <t>Lillestjernen</t>
  </si>
  <si>
    <t>Solbjerghaven</t>
  </si>
  <si>
    <t>Solvang ffo</t>
  </si>
  <si>
    <t>Solvangskolen</t>
  </si>
  <si>
    <t>Specialbørnehaven Humlehaven</t>
  </si>
  <si>
    <t>Stavnsholtskolen</t>
  </si>
  <si>
    <t>Syvstjerneklubben</t>
  </si>
  <si>
    <t>Søndersø Botræningstilbud</t>
  </si>
  <si>
    <t>Søndersøskolen</t>
  </si>
  <si>
    <t>UngFuresø</t>
  </si>
  <si>
    <t>Lille Værløse Skole, kantinen</t>
  </si>
  <si>
    <t>Stavnsholtskolen, madkundskab og møder</t>
  </si>
  <si>
    <t>Søndersøskolen - kontor</t>
  </si>
  <si>
    <t>Søndersøskolen - madkundskab</t>
  </si>
  <si>
    <t>Lyngholmskolen</t>
  </si>
  <si>
    <t>Lyngholmskolen *Kontor*</t>
  </si>
  <si>
    <t>Furesø Rehabilitering</t>
  </si>
  <si>
    <t>to numre; 200106717+200042992</t>
  </si>
  <si>
    <t>Furesø familiehus</t>
  </si>
  <si>
    <t>Lille Værløse Skole FFO (Jonstrup afd.)</t>
  </si>
  <si>
    <t>Furesø tandpleje</t>
  </si>
  <si>
    <t>Solstrålen</t>
  </si>
  <si>
    <t>Lyngholmskolen, kantinen</t>
  </si>
  <si>
    <t>Lyngholmskolen, Administration (gul dør)</t>
  </si>
  <si>
    <t>Lille Værløse Skole, gruppeordningen</t>
  </si>
  <si>
    <t>syvstjerneskolen</t>
  </si>
  <si>
    <t>Stavnsholt Børnehus, integr.</t>
  </si>
  <si>
    <t>EKG</t>
  </si>
  <si>
    <t>990028480</t>
  </si>
  <si>
    <t>Furesø Kommune SKI 50.90</t>
  </si>
  <si>
    <t>Børnehuset Siv</t>
  </si>
  <si>
    <t>Furesø Kom. Miljøafd.</t>
  </si>
  <si>
    <t>lille Værløse skole</t>
  </si>
  <si>
    <t>IT-Forsyningen</t>
  </si>
  <si>
    <t>Lyngholmskolen Lg</t>
  </si>
  <si>
    <t>To numre; 200159676; 200220246</t>
  </si>
  <si>
    <t>Lillevang - Rosenhaven</t>
  </si>
  <si>
    <t>Røde Sol</t>
  </si>
  <si>
    <t>Furesø Kommunale Tandpleje</t>
  </si>
  <si>
    <t>Kulturhuset Galaksen</t>
  </si>
  <si>
    <r>
      <t>Lillevang (Rokkedyssegård +Rema)</t>
    </r>
    <r>
      <rPr>
        <b/>
        <sz val="11"/>
        <color rgb="FF92D050"/>
        <rFont val="Calibri"/>
        <family val="2"/>
        <scheme val="minor"/>
      </rPr>
      <t>/Lynghuset/Værløse Svømmehal (Natursli</t>
    </r>
    <r>
      <rPr>
        <b/>
        <sz val="11"/>
        <color theme="1"/>
        <rFont val="Calibri"/>
        <family val="2"/>
        <scheme val="minor"/>
      </rPr>
      <t>k/Premier IS)</t>
    </r>
  </si>
  <si>
    <t>Weight in kilo for ecology items</t>
  </si>
  <si>
    <t>Total weight in kilo</t>
  </si>
  <si>
    <t>Furesø Kommune</t>
  </si>
  <si>
    <t>Birkhøj</t>
  </si>
  <si>
    <t>Driftgården - Furesø Kommune</t>
  </si>
  <si>
    <t>Nemlig kundenummer 1</t>
  </si>
  <si>
    <t>Nemlig kundenummer 2</t>
  </si>
  <si>
    <t>Nemlig kundenummer 3</t>
  </si>
  <si>
    <t>Nemlig kundenummer 4</t>
  </si>
  <si>
    <t>Furesø Genoptræning Mælk</t>
  </si>
  <si>
    <t>Skolelandbruget og Haver til Maver</t>
  </si>
  <si>
    <t>Lyngholmskolen - Madkundskab</t>
  </si>
  <si>
    <t>Lille Værløse Skole, gr.ordn. MAD+KLUB</t>
  </si>
  <si>
    <t>Furesø Bibliotekerne</t>
  </si>
  <si>
    <t>Kometen</t>
  </si>
  <si>
    <t>Farum Lilleskole</t>
  </si>
  <si>
    <t>Pl.hj. Lillev.afd.Rosenh-1.Sal</t>
  </si>
  <si>
    <t>to numre; 200221267; 200230108</t>
  </si>
  <si>
    <t>skole</t>
  </si>
  <si>
    <t xml:space="preserve">Stavnsholtskolen, kantinen. </t>
  </si>
  <si>
    <t>Sundhedsplejen Furesø</t>
  </si>
  <si>
    <t>Andelsforeningen anno 1986</t>
  </si>
  <si>
    <t>Furesøgård Fritidsklub</t>
  </si>
  <si>
    <t>Marie Kruses skole</t>
  </si>
  <si>
    <r>
      <rPr>
        <sz val="11"/>
        <rFont val="Calibri"/>
        <family val="2"/>
        <scheme val="minor"/>
      </rPr>
      <t xml:space="preserve">Frellsen, </t>
    </r>
    <r>
      <rPr>
        <b/>
        <sz val="11"/>
        <rFont val="Calibri"/>
        <family val="2"/>
        <scheme val="minor"/>
      </rPr>
      <t xml:space="preserve">JDE og BKI                                        </t>
    </r>
  </si>
  <si>
    <t>Periode: 01-07-2025 .. 30-09-2025</t>
  </si>
  <si>
    <t>Grundvand</t>
  </si>
  <si>
    <t>EAN nummer</t>
  </si>
  <si>
    <t>Liter skånet</t>
  </si>
  <si>
    <t>5798008526350</t>
  </si>
  <si>
    <t>5798008504372</t>
  </si>
  <si>
    <t>Pl.hj. Lillev.afd.Rosenh-stuen</t>
  </si>
  <si>
    <t>5798008526381</t>
  </si>
  <si>
    <t>5798008526497</t>
  </si>
  <si>
    <t>5798008526916</t>
  </si>
  <si>
    <t>5798008526619</t>
  </si>
  <si>
    <t>5798008506956</t>
  </si>
  <si>
    <t>5790000411863</t>
  </si>
  <si>
    <t>5798008526404</t>
  </si>
  <si>
    <t>5798008526305</t>
  </si>
  <si>
    <t>5798008506987</t>
  </si>
  <si>
    <t>5798008504167</t>
  </si>
  <si>
    <t>5798008526329</t>
  </si>
  <si>
    <t>4. kvartal 25</t>
  </si>
  <si>
    <t>Lille Værløse skole - FFO 2 &amp; 3(Toppen)</t>
  </si>
  <si>
    <t>Solvangskolen, kontor</t>
  </si>
  <si>
    <t>Ll Værløse Skole Ffo3 Klub24</t>
  </si>
  <si>
    <t>Solvangskolen Hjemkundskab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</si>
</sst>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4" formatCode="_-* #,##0.00\ &quot;kr.&quot;_-;\-* #,##0.00\ &quot;kr.&quot;_-;_-* &quot;-&quot;??\ &quot;kr.&quot;_-;_-@_-"/>
    <numFmt numFmtId="43" formatCode="_-* #,##0.00_-;\-* #,##0.00_-;_-* &quot;-&quot;??_-;_-@_-"/>
    <numFmt numFmtId="164" formatCode="_ * #,##0.00_ ;_ * \-#,##0.00_ ;_ * &quot;-&quot;??_ ;_ @_ "/>
    <numFmt numFmtId="165" formatCode="_ * #,##0_ ;_ * \-#,##0_ ;_ * &quot;-&quot;??_ ;_ @_ "/>
    <numFmt numFmtId="166" formatCode="_ * #,##0.000_ ;_ * \-#,##0.000_ ;_ * &quot;-&quot;??_ ;_ @_ "/>
    <numFmt numFmtId="167" formatCode="#,##0_ ;\-#,##0\ "/>
    <numFmt numFmtId="168" formatCode="_ * #,##0.0000_ ;_ * \-#,##0.0000_ ;_ * &quot;-&quot;??_ ;_ @_ "/>
    <numFmt numFmtId="169" formatCode="0.0"/>
    <numFmt numFmtId="170" formatCode="[$-10406]#,##0.0"/>
    <numFmt numFmtId="171" formatCode="###,000"/>
    <numFmt numFmtId="172" formatCode="[$-10406]#,##0.00%"/>
    <numFmt numFmtId="173" formatCode="[$-10406]#,##0.0;\(#,##0.0\)"/>
    <numFmt numFmtId="174" formatCode="_ * #,##0.0_ ;_ * \-#,##0.0_ ;_ * &quot;-&quot;??_ ;_ @_ "/>
    <numFmt numFmtId="175" formatCode="[$-10406]#,##0;\-#,##0"/>
  </numFmts>
  <fonts count="4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6"/>
      <name val="Calibri"/>
      <family val="2"/>
      <scheme val="minor"/>
    </font>
    <font>
      <sz val="8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92D050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color rgb="FF1F497D"/>
      <name val="Verdana"/>
      <family val="2"/>
    </font>
    <font>
      <sz val="10"/>
      <color rgb="FF000000"/>
      <name val="Arial"/>
      <family val="2"/>
    </font>
    <font>
      <sz val="8"/>
      <color rgb="FF000000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11"/>
      <name val="Calibri"/>
      <family val="2"/>
    </font>
    <font>
      <b/>
      <sz val="10"/>
      <color rgb="FF00000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7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rgb="FFACB9CA"/>
      </left>
      <right style="thin">
        <color rgb="FFACB9CA"/>
      </right>
      <top style="thin">
        <color rgb="FFACB9CA"/>
      </top>
      <bottom style="thin">
        <color rgb="FFACB9CA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</borders>
  <cellStyleXfs count="69">
    <xf numFmtId="0" fontId="0" fillId="0" borderId="0"/>
    <xf numFmtId="164" fontId="2" fillId="0" borderId="0" applyFont="0" applyFill="0" applyBorder="0" applyAlignment="0" applyProtection="0"/>
    <xf numFmtId="0" fontId="4" fillId="0" borderId="0"/>
    <xf numFmtId="0" fontId="5" fillId="0" borderId="0"/>
    <xf numFmtId="0" fontId="7" fillId="0" borderId="0" applyNumberFormat="0" applyFill="0" applyBorder="0" applyAlignment="0" applyProtection="0"/>
    <xf numFmtId="0" fontId="8" fillId="0" borderId="5" applyNumberFormat="0" applyFill="0" applyAlignment="0" applyProtection="0"/>
    <xf numFmtId="0" fontId="9" fillId="0" borderId="6" applyNumberFormat="0" applyFill="0" applyAlignment="0" applyProtection="0"/>
    <xf numFmtId="0" fontId="10" fillId="0" borderId="7" applyNumberFormat="0" applyFill="0" applyAlignment="0" applyProtection="0"/>
    <xf numFmtId="0" fontId="10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6" borderId="8" applyNumberFormat="0" applyAlignment="0" applyProtection="0"/>
    <xf numFmtId="0" fontId="15" fillId="7" borderId="9" applyNumberFormat="0" applyAlignment="0" applyProtection="0"/>
    <xf numFmtId="0" fontId="16" fillId="7" borderId="8" applyNumberFormat="0" applyAlignment="0" applyProtection="0"/>
    <xf numFmtId="0" fontId="17" fillId="0" borderId="10" applyNumberFormat="0" applyFill="0" applyAlignment="0" applyProtection="0"/>
    <xf numFmtId="0" fontId="18" fillId="8" borderId="11" applyNumberFormat="0" applyAlignment="0" applyProtection="0"/>
    <xf numFmtId="0" fontId="19" fillId="0" borderId="0" applyNumberFormat="0" applyFill="0" applyBorder="0" applyAlignment="0" applyProtection="0"/>
    <xf numFmtId="0" fontId="2" fillId="9" borderId="12" applyNumberFormat="0" applyFont="0" applyAlignment="0" applyProtection="0"/>
    <xf numFmtId="0" fontId="20" fillId="0" borderId="0" applyNumberFormat="0" applyFill="0" applyBorder="0" applyAlignment="0" applyProtection="0"/>
    <xf numFmtId="0" fontId="1" fillId="0" borderId="13" applyNumberFormat="0" applyFill="0" applyAlignment="0" applyProtection="0"/>
    <xf numFmtId="0" fontId="21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1" fillId="25" borderId="0" applyNumberFormat="0" applyBorder="0" applyAlignment="0" applyProtection="0"/>
    <xf numFmtId="0" fontId="21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1" fillId="29" borderId="0" applyNumberFormat="0" applyBorder="0" applyAlignment="0" applyProtection="0"/>
    <xf numFmtId="0" fontId="21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1" fillId="33" borderId="0" applyNumberFormat="0" applyBorder="0" applyAlignment="0" applyProtection="0"/>
    <xf numFmtId="0" fontId="4" fillId="0" borderId="0"/>
    <xf numFmtId="0" fontId="22" fillId="0" borderId="0"/>
    <xf numFmtId="0" fontId="23" fillId="0" borderId="0"/>
    <xf numFmtId="0" fontId="1" fillId="9" borderId="12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33" fillId="0" borderId="0"/>
    <xf numFmtId="171" fontId="36" fillId="0" borderId="35" applyNumberFormat="0" applyProtection="0">
      <alignment horizontal="right" vertical="center"/>
    </xf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40" fillId="0" borderId="0"/>
    <xf numFmtId="43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44" fontId="40" fillId="0" borderId="0" applyFont="0" applyFill="0" applyBorder="0" applyAlignment="0" applyProtection="0"/>
  </cellStyleXfs>
  <cellXfs count="245">
    <xf numFmtId="0" fontId="0" fillId="0" borderId="0" xfId="0"/>
    <xf numFmtId="0" fontId="0" fillId="0" borderId="1" xfId="0" applyBorder="1"/>
    <xf numFmtId="164" fontId="3" fillId="0" borderId="0" xfId="1" applyFont="1" applyAlignment="1">
      <alignment vertical="top"/>
    </xf>
    <xf numFmtId="0" fontId="2" fillId="2" borderId="0" xfId="0" applyFont="1" applyFill="1" applyAlignment="1">
      <alignment vertical="top"/>
    </xf>
    <xf numFmtId="164" fontId="26" fillId="0" borderId="0" xfId="1" applyFont="1" applyAlignment="1">
      <alignment vertical="top"/>
    </xf>
    <xf numFmtId="164" fontId="26" fillId="0" borderId="0" xfId="1" applyFont="1" applyFill="1" applyAlignment="1">
      <alignment vertical="top"/>
    </xf>
    <xf numFmtId="0" fontId="1" fillId="0" borderId="1" xfId="0" applyFont="1" applyBorder="1"/>
    <xf numFmtId="164" fontId="3" fillId="0" borderId="0" xfId="1" applyFont="1" applyFill="1" applyAlignment="1">
      <alignment vertical="top"/>
    </xf>
    <xf numFmtId="164" fontId="31" fillId="0" borderId="4" xfId="1" applyFont="1" applyBorder="1" applyAlignment="1">
      <alignment vertical="top"/>
    </xf>
    <xf numFmtId="0" fontId="25" fillId="0" borderId="0" xfId="0" applyFont="1"/>
    <xf numFmtId="0" fontId="0" fillId="34" borderId="1" xfId="0" applyFill="1" applyBorder="1"/>
    <xf numFmtId="164" fontId="3" fillId="0" borderId="24" xfId="1" applyFont="1" applyFill="1" applyBorder="1" applyAlignment="1">
      <alignment vertical="top"/>
    </xf>
    <xf numFmtId="169" fontId="0" fillId="0" borderId="0" xfId="0" applyNumberFormat="1"/>
    <xf numFmtId="164" fontId="3" fillId="0" borderId="27" xfId="1" applyFont="1" applyFill="1" applyBorder="1" applyAlignment="1">
      <alignment vertical="top"/>
    </xf>
    <xf numFmtId="1" fontId="0" fillId="34" borderId="1" xfId="0" applyNumberFormat="1" applyFill="1" applyBorder="1"/>
    <xf numFmtId="164" fontId="3" fillId="0" borderId="23" xfId="1" applyFont="1" applyFill="1" applyBorder="1" applyAlignment="1">
      <alignment vertical="top"/>
    </xf>
    <xf numFmtId="1" fontId="0" fillId="0" borderId="1" xfId="0" applyNumberFormat="1" applyBorder="1"/>
    <xf numFmtId="164" fontId="26" fillId="0" borderId="0" xfId="1" applyFont="1" applyFill="1" applyAlignment="1">
      <alignment vertical="top" wrapText="1"/>
    </xf>
    <xf numFmtId="165" fontId="25" fillId="0" borderId="0" xfId="1" applyNumberFormat="1" applyFont="1" applyAlignment="1">
      <alignment vertical="top"/>
    </xf>
    <xf numFmtId="165" fontId="30" fillId="0" borderId="0" xfId="1" applyNumberFormat="1" applyFont="1" applyBorder="1" applyAlignment="1">
      <alignment horizontal="right" vertical="top"/>
    </xf>
    <xf numFmtId="165" fontId="26" fillId="0" borderId="20" xfId="1" applyNumberFormat="1" applyFont="1" applyFill="1" applyBorder="1" applyAlignment="1">
      <alignment horizontal="right" vertical="top"/>
    </xf>
    <xf numFmtId="165" fontId="3" fillId="0" borderId="15" xfId="1" applyNumberFormat="1" applyFont="1" applyFill="1" applyBorder="1" applyAlignment="1">
      <alignment vertical="top"/>
    </xf>
    <xf numFmtId="165" fontId="3" fillId="0" borderId="0" xfId="1" applyNumberFormat="1" applyFont="1" applyAlignment="1">
      <alignment horizontal="right" vertical="top"/>
    </xf>
    <xf numFmtId="0" fontId="1" fillId="34" borderId="1" xfId="0" applyFont="1" applyFill="1" applyBorder="1"/>
    <xf numFmtId="164" fontId="0" fillId="0" borderId="0" xfId="1" applyFont="1" applyAlignment="1">
      <alignment vertical="top"/>
    </xf>
    <xf numFmtId="0" fontId="37" fillId="0" borderId="0" xfId="0" applyFont="1" applyAlignment="1">
      <alignment horizontal="left" vertical="top" wrapText="1" readingOrder="1"/>
    </xf>
    <xf numFmtId="164" fontId="27" fillId="0" borderId="0" xfId="1" applyFont="1" applyFill="1" applyBorder="1" applyAlignment="1">
      <alignment horizontal="left" vertical="top" wrapText="1"/>
    </xf>
    <xf numFmtId="164" fontId="1" fillId="0" borderId="0" xfId="1" applyFont="1" applyFill="1" applyBorder="1" applyAlignment="1">
      <alignment horizontal="center" vertical="top"/>
    </xf>
    <xf numFmtId="164" fontId="28" fillId="0" borderId="0" xfId="1" applyFont="1" applyFill="1" applyBorder="1" applyAlignment="1">
      <alignment vertical="top"/>
    </xf>
    <xf numFmtId="164" fontId="28" fillId="0" borderId="0" xfId="1" applyFont="1" applyBorder="1" applyAlignment="1">
      <alignment vertical="top"/>
    </xf>
    <xf numFmtId="164" fontId="3" fillId="0" borderId="0" xfId="1" applyFont="1" applyBorder="1" applyAlignment="1">
      <alignment horizontal="left" vertical="top" indent="3"/>
    </xf>
    <xf numFmtId="2" fontId="28" fillId="0" borderId="0" xfId="1" applyNumberFormat="1" applyFont="1" applyBorder="1" applyAlignment="1">
      <alignment vertical="top"/>
    </xf>
    <xf numFmtId="164" fontId="1" fillId="0" borderId="0" xfId="1" applyFont="1" applyFill="1" applyBorder="1" applyAlignment="1">
      <alignment vertical="top"/>
    </xf>
    <xf numFmtId="0" fontId="31" fillId="0" borderId="0" xfId="1" applyNumberFormat="1" applyFont="1" applyBorder="1" applyAlignment="1">
      <alignment vertical="top"/>
    </xf>
    <xf numFmtId="0" fontId="30" fillId="0" borderId="0" xfId="1" applyNumberFormat="1" applyFont="1" applyBorder="1" applyAlignment="1">
      <alignment vertical="top"/>
    </xf>
    <xf numFmtId="0" fontId="3" fillId="0" borderId="31" xfId="1" applyNumberFormat="1" applyFont="1" applyFill="1" applyBorder="1" applyAlignment="1">
      <alignment vertical="top"/>
    </xf>
    <xf numFmtId="0" fontId="3" fillId="0" borderId="0" xfId="1" applyNumberFormat="1" applyFont="1" applyFill="1" applyBorder="1" applyAlignment="1">
      <alignment vertical="top"/>
    </xf>
    <xf numFmtId="0" fontId="26" fillId="0" borderId="0" xfId="1" applyNumberFormat="1" applyFont="1" applyFill="1" applyAlignment="1">
      <alignment vertical="top"/>
    </xf>
    <xf numFmtId="0" fontId="0" fillId="0" borderId="0" xfId="1" applyNumberFormat="1" applyFont="1" applyAlignment="1">
      <alignment vertical="top"/>
    </xf>
    <xf numFmtId="0" fontId="3" fillId="0" borderId="0" xfId="1" applyNumberFormat="1" applyFont="1" applyAlignment="1">
      <alignment vertical="top"/>
    </xf>
    <xf numFmtId="164" fontId="2" fillId="0" borderId="0" xfId="64" applyFont="1" applyAlignment="1">
      <alignment vertical="top"/>
    </xf>
    <xf numFmtId="164" fontId="2" fillId="0" borderId="0" xfId="64" applyFont="1" applyFill="1" applyAlignment="1">
      <alignment vertical="top"/>
    </xf>
    <xf numFmtId="165" fontId="2" fillId="0" borderId="0" xfId="64" applyNumberFormat="1" applyFont="1" applyFill="1" applyAlignment="1">
      <alignment vertical="top"/>
    </xf>
    <xf numFmtId="165" fontId="2" fillId="0" borderId="0" xfId="64" applyNumberFormat="1" applyFont="1" applyAlignment="1">
      <alignment vertical="top"/>
    </xf>
    <xf numFmtId="168" fontId="3" fillId="0" borderId="0" xfId="64" applyNumberFormat="1" applyFont="1" applyFill="1" applyAlignment="1">
      <alignment vertical="top"/>
    </xf>
    <xf numFmtId="166" fontId="2" fillId="0" borderId="0" xfId="64" applyNumberFormat="1" applyFont="1" applyFill="1" applyAlignment="1">
      <alignment vertical="top"/>
    </xf>
    <xf numFmtId="164" fontId="3" fillId="0" borderId="0" xfId="64" applyFont="1" applyFill="1" applyAlignment="1">
      <alignment vertical="top"/>
    </xf>
    <xf numFmtId="164" fontId="3" fillId="0" borderId="0" xfId="64" applyFont="1" applyAlignment="1">
      <alignment horizontal="right" vertical="top"/>
    </xf>
    <xf numFmtId="164" fontId="3" fillId="0" borderId="0" xfId="64" applyFont="1" applyAlignment="1">
      <alignment vertical="top"/>
    </xf>
    <xf numFmtId="168" fontId="2" fillId="0" borderId="0" xfId="64" applyNumberFormat="1" applyFont="1" applyFill="1" applyAlignment="1">
      <alignment vertical="top"/>
    </xf>
    <xf numFmtId="166" fontId="2" fillId="0" borderId="0" xfId="64" applyNumberFormat="1" applyFont="1" applyFill="1" applyAlignment="1">
      <alignment horizontal="right" vertical="top"/>
    </xf>
    <xf numFmtId="165" fontId="3" fillId="0" borderId="0" xfId="64" applyNumberFormat="1" applyFont="1" applyFill="1" applyAlignment="1">
      <alignment vertical="top"/>
    </xf>
    <xf numFmtId="165" fontId="1" fillId="0" borderId="18" xfId="64" applyNumberFormat="1" applyFont="1" applyFill="1" applyBorder="1" applyAlignment="1">
      <alignment vertical="top"/>
    </xf>
    <xf numFmtId="167" fontId="1" fillId="0" borderId="18" xfId="64" applyNumberFormat="1" applyFont="1" applyFill="1" applyBorder="1" applyAlignment="1">
      <alignment vertical="top"/>
    </xf>
    <xf numFmtId="165" fontId="1" fillId="0" borderId="22" xfId="64" applyNumberFormat="1" applyFont="1" applyFill="1" applyBorder="1" applyAlignment="1">
      <alignment vertical="top"/>
    </xf>
    <xf numFmtId="165" fontId="1" fillId="0" borderId="18" xfId="64" applyNumberFormat="1" applyFont="1" applyFill="1" applyBorder="1" applyAlignment="1">
      <alignment horizontal="right" vertical="top"/>
    </xf>
    <xf numFmtId="164" fontId="29" fillId="0" borderId="30" xfId="64" applyFont="1" applyFill="1" applyBorder="1" applyAlignment="1">
      <alignment horizontal="left" vertical="top"/>
    </xf>
    <xf numFmtId="165" fontId="3" fillId="0" borderId="24" xfId="64" applyNumberFormat="1" applyFont="1" applyFill="1" applyBorder="1" applyAlignment="1">
      <alignment vertical="top"/>
    </xf>
    <xf numFmtId="165" fontId="3" fillId="0" borderId="24" xfId="64" applyNumberFormat="1" applyFont="1" applyFill="1" applyBorder="1" applyAlignment="1">
      <alignment horizontal="right" vertical="top"/>
    </xf>
    <xf numFmtId="165" fontId="3" fillId="0" borderId="24" xfId="64" applyNumberFormat="1" applyFont="1" applyBorder="1" applyAlignment="1">
      <alignment vertical="top"/>
    </xf>
    <xf numFmtId="165" fontId="3" fillId="0" borderId="24" xfId="64" applyNumberFormat="1" applyFont="1" applyBorder="1" applyAlignment="1">
      <alignment horizontal="right" vertical="top"/>
    </xf>
    <xf numFmtId="165" fontId="3" fillId="0" borderId="23" xfId="64" applyNumberFormat="1" applyFont="1" applyFill="1" applyBorder="1" applyAlignment="1">
      <alignment vertical="top"/>
    </xf>
    <xf numFmtId="164" fontId="1" fillId="0" borderId="18" xfId="64" applyFont="1" applyFill="1" applyBorder="1" applyAlignment="1">
      <alignment horizontal="center" vertical="top"/>
    </xf>
    <xf numFmtId="164" fontId="1" fillId="0" borderId="17" xfId="64" applyFont="1" applyFill="1" applyBorder="1" applyAlignment="1">
      <alignment horizontal="center" vertical="top"/>
    </xf>
    <xf numFmtId="165" fontId="1" fillId="0" borderId="18" xfId="64" applyNumberFormat="1" applyFont="1" applyBorder="1" applyAlignment="1">
      <alignment horizontal="center" vertical="top"/>
    </xf>
    <xf numFmtId="165" fontId="1" fillId="0" borderId="17" xfId="64" applyNumberFormat="1" applyFont="1" applyBorder="1" applyAlignment="1">
      <alignment horizontal="center" vertical="top"/>
    </xf>
    <xf numFmtId="168" fontId="6" fillId="0" borderId="18" xfId="64" applyNumberFormat="1" applyFont="1" applyFill="1" applyBorder="1" applyAlignment="1">
      <alignment horizontal="center" vertical="top"/>
    </xf>
    <xf numFmtId="168" fontId="6" fillId="0" borderId="17" xfId="64" applyNumberFormat="1" applyFont="1" applyFill="1" applyBorder="1" applyAlignment="1">
      <alignment horizontal="center" vertical="top"/>
    </xf>
    <xf numFmtId="166" fontId="1" fillId="0" borderId="18" xfId="64" applyNumberFormat="1" applyFont="1" applyFill="1" applyBorder="1" applyAlignment="1">
      <alignment horizontal="center" vertical="top"/>
    </xf>
    <xf numFmtId="166" fontId="1" fillId="0" borderId="17" xfId="64" applyNumberFormat="1" applyFont="1" applyFill="1" applyBorder="1" applyAlignment="1">
      <alignment horizontal="center" vertical="top"/>
    </xf>
    <xf numFmtId="164" fontId="1" fillId="0" borderId="14" xfId="64" applyFont="1" applyBorder="1" applyAlignment="1">
      <alignment horizontal="right" vertical="top"/>
    </xf>
    <xf numFmtId="164" fontId="3" fillId="0" borderId="29" xfId="64" applyFont="1" applyBorder="1" applyAlignment="1">
      <alignment vertical="top"/>
    </xf>
    <xf numFmtId="164" fontId="2" fillId="0" borderId="0" xfId="64" applyFont="1" applyFill="1" applyAlignment="1">
      <alignment vertical="top" wrapText="1"/>
    </xf>
    <xf numFmtId="164" fontId="6" fillId="0" borderId="28" xfId="64" applyFont="1" applyFill="1" applyBorder="1" applyAlignment="1">
      <alignment vertical="top" wrapText="1"/>
    </xf>
    <xf numFmtId="164" fontId="0" fillId="0" borderId="0" xfId="64" applyFont="1" applyFill="1" applyAlignment="1">
      <alignment horizontal="left" vertical="top" wrapText="1"/>
    </xf>
    <xf numFmtId="164" fontId="30" fillId="0" borderId="0" xfId="64" applyFont="1" applyBorder="1" applyAlignment="1">
      <alignment horizontal="right" vertical="top"/>
    </xf>
    <xf numFmtId="165" fontId="24" fillId="0" borderId="0" xfId="64" applyNumberFormat="1" applyFont="1" applyAlignment="1">
      <alignment vertical="top"/>
    </xf>
    <xf numFmtId="164" fontId="6" fillId="0" borderId="0" xfId="64" applyFont="1" applyFill="1" applyBorder="1" applyAlignment="1">
      <alignment vertical="top"/>
    </xf>
    <xf numFmtId="165" fontId="25" fillId="0" borderId="0" xfId="64" applyNumberFormat="1" applyFont="1" applyAlignment="1">
      <alignment horizontal="left" vertical="top"/>
    </xf>
    <xf numFmtId="164" fontId="31" fillId="0" borderId="4" xfId="64" applyFont="1" applyBorder="1" applyAlignment="1">
      <alignment vertical="top"/>
    </xf>
    <xf numFmtId="9" fontId="3" fillId="0" borderId="0" xfId="63" applyFont="1" applyFill="1" applyAlignment="1">
      <alignment vertical="top"/>
    </xf>
    <xf numFmtId="0" fontId="39" fillId="0" borderId="0" xfId="0" applyFont="1" applyAlignment="1">
      <alignment vertical="top" wrapText="1" readingOrder="1"/>
    </xf>
    <xf numFmtId="164" fontId="6" fillId="0" borderId="4" xfId="64" applyFont="1" applyBorder="1" applyAlignment="1">
      <alignment vertical="top"/>
    </xf>
    <xf numFmtId="164" fontId="6" fillId="0" borderId="4" xfId="1" applyFont="1" applyBorder="1" applyAlignment="1">
      <alignment vertical="top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9" fontId="0" fillId="0" borderId="0" xfId="0" applyNumberFormat="1"/>
    <xf numFmtId="164" fontId="31" fillId="0" borderId="0" xfId="64" applyFont="1" applyBorder="1" applyAlignment="1">
      <alignment vertical="top"/>
    </xf>
    <xf numFmtId="164" fontId="6" fillId="0" borderId="0" xfId="64" applyFont="1" applyBorder="1" applyAlignment="1">
      <alignment vertical="top"/>
    </xf>
    <xf numFmtId="3" fontId="0" fillId="0" borderId="0" xfId="0" applyNumberFormat="1"/>
    <xf numFmtId="164" fontId="1" fillId="0" borderId="22" xfId="64" applyFont="1" applyFill="1" applyBorder="1" applyAlignment="1">
      <alignment horizontal="right" vertical="top" wrapText="1"/>
    </xf>
    <xf numFmtId="164" fontId="3" fillId="0" borderId="36" xfId="64" applyFont="1" applyBorder="1" applyAlignment="1">
      <alignment vertical="top"/>
    </xf>
    <xf numFmtId="164" fontId="6" fillId="0" borderId="37" xfId="64" applyFont="1" applyFill="1" applyBorder="1" applyAlignment="1">
      <alignment vertical="top" wrapText="1"/>
    </xf>
    <xf numFmtId="165" fontId="6" fillId="0" borderId="0" xfId="1" applyNumberFormat="1" applyFont="1" applyFill="1" applyBorder="1" applyAlignment="1">
      <alignment vertical="top"/>
    </xf>
    <xf numFmtId="165" fontId="0" fillId="0" borderId="0" xfId="1" applyNumberFormat="1" applyFont="1"/>
    <xf numFmtId="165" fontId="3" fillId="0" borderId="0" xfId="1" applyNumberFormat="1" applyFont="1" applyFill="1" applyAlignment="1">
      <alignment vertical="top"/>
    </xf>
    <xf numFmtId="165" fontId="26" fillId="0" borderId="0" xfId="1" applyNumberFormat="1" applyFont="1" applyFill="1" applyAlignment="1">
      <alignment vertical="top"/>
    </xf>
    <xf numFmtId="165" fontId="26" fillId="0" borderId="0" xfId="1" applyNumberFormat="1" applyFont="1" applyAlignment="1">
      <alignment vertical="top"/>
    </xf>
    <xf numFmtId="165" fontId="3" fillId="0" borderId="19" xfId="1" applyNumberFormat="1" applyFont="1" applyFill="1" applyBorder="1" applyAlignment="1">
      <alignment vertical="top"/>
    </xf>
    <xf numFmtId="165" fontId="3" fillId="0" borderId="2" xfId="1" applyNumberFormat="1" applyFont="1" applyFill="1" applyBorder="1" applyAlignment="1">
      <alignment vertical="top"/>
    </xf>
    <xf numFmtId="0" fontId="41" fillId="0" borderId="0" xfId="65" applyFont="1"/>
    <xf numFmtId="0" fontId="40" fillId="0" borderId="0" xfId="65"/>
    <xf numFmtId="0" fontId="3" fillId="0" borderId="1" xfId="0" applyFont="1" applyBorder="1"/>
    <xf numFmtId="0" fontId="0" fillId="0" borderId="1" xfId="0" applyBorder="1" applyAlignment="1">
      <alignment horizontal="right"/>
    </xf>
    <xf numFmtId="0" fontId="19" fillId="0" borderId="1" xfId="0" applyFont="1" applyBorder="1"/>
    <xf numFmtId="0" fontId="0" fillId="0" borderId="32" xfId="0" applyBorder="1"/>
    <xf numFmtId="0" fontId="21" fillId="0" borderId="1" xfId="0" applyFont="1" applyBorder="1"/>
    <xf numFmtId="164" fontId="3" fillId="0" borderId="46" xfId="1" applyFont="1" applyFill="1" applyBorder="1" applyAlignment="1">
      <alignment vertical="top"/>
    </xf>
    <xf numFmtId="0" fontId="3" fillId="0" borderId="47" xfId="1" applyNumberFormat="1" applyFont="1" applyFill="1" applyBorder="1" applyAlignment="1">
      <alignment vertical="top"/>
    </xf>
    <xf numFmtId="165" fontId="3" fillId="0" borderId="33" xfId="1" applyNumberFormat="1" applyFont="1" applyFill="1" applyBorder="1" applyAlignment="1">
      <alignment vertical="top"/>
    </xf>
    <xf numFmtId="164" fontId="1" fillId="0" borderId="48" xfId="1" applyFont="1" applyFill="1" applyBorder="1" applyAlignment="1">
      <alignment vertical="top"/>
    </xf>
    <xf numFmtId="0" fontId="1" fillId="0" borderId="49" xfId="1" applyNumberFormat="1" applyFont="1" applyFill="1" applyBorder="1" applyAlignment="1">
      <alignment vertical="top"/>
    </xf>
    <xf numFmtId="165" fontId="1" fillId="0" borderId="50" xfId="1" applyNumberFormat="1" applyFont="1" applyFill="1" applyBorder="1" applyAlignment="1">
      <alignment vertical="top"/>
    </xf>
    <xf numFmtId="165" fontId="1" fillId="0" borderId="51" xfId="1" applyNumberFormat="1" applyFont="1" applyFill="1" applyBorder="1" applyAlignment="1">
      <alignment vertical="top"/>
    </xf>
    <xf numFmtId="165" fontId="1" fillId="0" borderId="52" xfId="1" applyNumberFormat="1" applyFont="1" applyFill="1" applyBorder="1" applyAlignment="1">
      <alignment vertical="top"/>
    </xf>
    <xf numFmtId="4" fontId="40" fillId="0" borderId="0" xfId="65" applyNumberFormat="1"/>
    <xf numFmtId="164" fontId="6" fillId="0" borderId="64" xfId="1" applyFont="1" applyFill="1" applyBorder="1" applyAlignment="1">
      <alignment vertical="top" wrapText="1"/>
    </xf>
    <xf numFmtId="0" fontId="6" fillId="0" borderId="65" xfId="1" applyNumberFormat="1" applyFont="1" applyFill="1" applyBorder="1" applyAlignment="1">
      <alignment vertical="top" wrapText="1"/>
    </xf>
    <xf numFmtId="0" fontId="6" fillId="0" borderId="66" xfId="1" applyNumberFormat="1" applyFont="1" applyFill="1" applyBorder="1" applyAlignment="1">
      <alignment vertical="top" wrapText="1"/>
    </xf>
    <xf numFmtId="0" fontId="6" fillId="0" borderId="67" xfId="1" applyNumberFormat="1" applyFont="1" applyFill="1" applyBorder="1" applyAlignment="1">
      <alignment vertical="top" wrapText="1"/>
    </xf>
    <xf numFmtId="0" fontId="6" fillId="0" borderId="64" xfId="1" applyNumberFormat="1" applyFont="1" applyFill="1" applyBorder="1" applyAlignment="1">
      <alignment vertical="top" wrapText="1"/>
    </xf>
    <xf numFmtId="165" fontId="1" fillId="0" borderId="68" xfId="1" applyNumberFormat="1" applyFont="1" applyFill="1" applyBorder="1" applyAlignment="1">
      <alignment horizontal="right" vertical="top" wrapText="1"/>
    </xf>
    <xf numFmtId="165" fontId="3" fillId="0" borderId="72" xfId="1" applyNumberFormat="1" applyFont="1" applyFill="1" applyBorder="1" applyAlignment="1">
      <alignment vertical="top"/>
    </xf>
    <xf numFmtId="165" fontId="3" fillId="0" borderId="73" xfId="1" applyNumberFormat="1" applyFont="1" applyFill="1" applyBorder="1" applyAlignment="1">
      <alignment vertical="top"/>
    </xf>
    <xf numFmtId="165" fontId="1" fillId="0" borderId="53" xfId="1" applyNumberFormat="1" applyFont="1" applyFill="1" applyBorder="1" applyAlignment="1">
      <alignment horizontal="center" vertical="top"/>
    </xf>
    <xf numFmtId="165" fontId="1" fillId="0" borderId="52" xfId="1" applyNumberFormat="1" applyFont="1" applyFill="1" applyBorder="1" applyAlignment="1">
      <alignment horizontal="center" vertical="top"/>
    </xf>
    <xf numFmtId="174" fontId="3" fillId="0" borderId="24" xfId="64" applyNumberFormat="1" applyFont="1" applyFill="1" applyBorder="1" applyAlignment="1">
      <alignment horizontal="right" vertical="top"/>
    </xf>
    <xf numFmtId="43" fontId="41" fillId="0" borderId="0" xfId="66" applyFont="1"/>
    <xf numFmtId="43" fontId="0" fillId="0" borderId="0" xfId="66" applyFont="1"/>
    <xf numFmtId="0" fontId="0" fillId="0" borderId="0" xfId="66" applyNumberFormat="1" applyFont="1"/>
    <xf numFmtId="1" fontId="40" fillId="0" borderId="0" xfId="65" applyNumberFormat="1"/>
    <xf numFmtId="1" fontId="3" fillId="0" borderId="31" xfId="1" applyNumberFormat="1" applyFont="1" applyFill="1" applyBorder="1" applyAlignment="1">
      <alignment vertical="top"/>
    </xf>
    <xf numFmtId="1" fontId="3" fillId="0" borderId="0" xfId="1" applyNumberFormat="1" applyFont="1" applyFill="1" applyBorder="1" applyAlignment="1">
      <alignment vertical="top"/>
    </xf>
    <xf numFmtId="0" fontId="0" fillId="2" borderId="1" xfId="0" applyFill="1" applyBorder="1"/>
    <xf numFmtId="0" fontId="43" fillId="0" borderId="0" xfId="61" applyFont="1"/>
    <xf numFmtId="0" fontId="44" fillId="0" borderId="40" xfId="61" applyFont="1" applyBorder="1" applyAlignment="1">
      <alignment horizontal="right" vertical="top" wrapText="1" readingOrder="1"/>
    </xf>
    <xf numFmtId="172" fontId="44" fillId="0" borderId="41" xfId="61" applyNumberFormat="1" applyFont="1" applyBorder="1" applyAlignment="1">
      <alignment horizontal="right" vertical="top" wrapText="1" readingOrder="1"/>
    </xf>
    <xf numFmtId="172" fontId="44" fillId="0" borderId="40" xfId="61" applyNumberFormat="1" applyFont="1" applyBorder="1" applyAlignment="1">
      <alignment vertical="top" wrapText="1" readingOrder="1"/>
    </xf>
    <xf numFmtId="165" fontId="3" fillId="0" borderId="53" xfId="1" applyNumberFormat="1" applyFont="1" applyFill="1" applyBorder="1" applyAlignment="1">
      <alignment vertical="top"/>
    </xf>
    <xf numFmtId="165" fontId="3" fillId="0" borderId="52" xfId="1" applyNumberFormat="1" applyFont="1" applyFill="1" applyBorder="1" applyAlignment="1">
      <alignment vertical="top"/>
    </xf>
    <xf numFmtId="165" fontId="1" fillId="0" borderId="45" xfId="1" applyNumberFormat="1" applyFont="1" applyFill="1" applyBorder="1" applyAlignment="1">
      <alignment vertical="top"/>
    </xf>
    <xf numFmtId="165" fontId="38" fillId="0" borderId="0" xfId="0" applyNumberFormat="1" applyFont="1" applyAlignment="1">
      <alignment horizontal="right" vertical="top" wrapText="1" readingOrder="1"/>
    </xf>
    <xf numFmtId="165" fontId="1" fillId="0" borderId="63" xfId="1" applyNumberFormat="1" applyFont="1" applyFill="1" applyBorder="1" applyAlignment="1">
      <alignment horizontal="center" vertical="top"/>
    </xf>
    <xf numFmtId="165" fontId="3" fillId="0" borderId="74" xfId="1" applyNumberFormat="1" applyFont="1" applyFill="1" applyBorder="1" applyAlignment="1">
      <alignment vertical="top"/>
    </xf>
    <xf numFmtId="165" fontId="3" fillId="0" borderId="0" xfId="1" applyNumberFormat="1" applyFont="1" applyFill="1" applyBorder="1" applyAlignment="1">
      <alignment vertical="top"/>
    </xf>
    <xf numFmtId="165" fontId="6" fillId="0" borderId="53" xfId="1" applyNumberFormat="1" applyFont="1" applyFill="1" applyBorder="1" applyAlignment="1">
      <alignment horizontal="center" vertical="top"/>
    </xf>
    <xf numFmtId="165" fontId="6" fillId="0" borderId="50" xfId="1" applyNumberFormat="1" applyFont="1" applyFill="1" applyBorder="1" applyAlignment="1">
      <alignment horizontal="center" vertical="top"/>
    </xf>
    <xf numFmtId="165" fontId="3" fillId="0" borderId="76" xfId="1" applyNumberFormat="1" applyFont="1" applyFill="1" applyBorder="1" applyAlignment="1">
      <alignment vertical="top"/>
    </xf>
    <xf numFmtId="165" fontId="3" fillId="0" borderId="77" xfId="1" applyNumberFormat="1" applyFont="1" applyFill="1" applyBorder="1" applyAlignment="1">
      <alignment vertical="top"/>
    </xf>
    <xf numFmtId="165" fontId="35" fillId="0" borderId="3" xfId="0" applyNumberFormat="1" applyFont="1" applyBorder="1" applyAlignment="1">
      <alignment wrapText="1"/>
    </xf>
    <xf numFmtId="165" fontId="0" fillId="0" borderId="16" xfId="0" applyNumberFormat="1" applyBorder="1"/>
    <xf numFmtId="165" fontId="35" fillId="0" borderId="1" xfId="0" applyNumberFormat="1" applyFont="1" applyBorder="1"/>
    <xf numFmtId="165" fontId="3" fillId="0" borderId="3" xfId="1" applyNumberFormat="1" applyFont="1" applyFill="1" applyBorder="1" applyAlignment="1">
      <alignment vertical="top"/>
    </xf>
    <xf numFmtId="165" fontId="3" fillId="0" borderId="16" xfId="1" applyNumberFormat="1" applyFont="1" applyFill="1" applyBorder="1" applyAlignment="1">
      <alignment vertical="top"/>
    </xf>
    <xf numFmtId="165" fontId="35" fillId="0" borderId="3" xfId="0" applyNumberFormat="1" applyFont="1" applyBorder="1"/>
    <xf numFmtId="165" fontId="3" fillId="0" borderId="1" xfId="1" applyNumberFormat="1" applyFont="1" applyFill="1" applyBorder="1" applyAlignment="1">
      <alignment vertical="top"/>
    </xf>
    <xf numFmtId="165" fontId="35" fillId="0" borderId="16" xfId="0" applyNumberFormat="1" applyFont="1" applyBorder="1"/>
    <xf numFmtId="165" fontId="0" fillId="0" borderId="1" xfId="0" applyNumberFormat="1" applyBorder="1"/>
    <xf numFmtId="165" fontId="35" fillId="0" borderId="2" xfId="0" applyNumberFormat="1" applyFont="1" applyBorder="1"/>
    <xf numFmtId="165" fontId="3" fillId="0" borderId="47" xfId="1" applyNumberFormat="1" applyFont="1" applyFill="1" applyBorder="1" applyAlignment="1">
      <alignment vertical="top"/>
    </xf>
    <xf numFmtId="165" fontId="3" fillId="0" borderId="34" xfId="1" applyNumberFormat="1" applyFont="1" applyFill="1" applyBorder="1" applyAlignment="1">
      <alignment vertical="top"/>
    </xf>
    <xf numFmtId="165" fontId="6" fillId="0" borderId="51" xfId="1" applyNumberFormat="1" applyFont="1" applyFill="1" applyBorder="1" applyAlignment="1">
      <alignment vertical="top"/>
    </xf>
    <xf numFmtId="164" fontId="24" fillId="0" borderId="0" xfId="1" applyFont="1" applyFill="1" applyAlignment="1">
      <alignment vertical="top"/>
    </xf>
    <xf numFmtId="164" fontId="1" fillId="0" borderId="51" xfId="1" applyFont="1" applyFill="1" applyBorder="1" applyAlignment="1">
      <alignment horizontal="center" vertical="top"/>
    </xf>
    <xf numFmtId="165" fontId="1" fillId="0" borderId="50" xfId="1" applyNumberFormat="1" applyFont="1" applyFill="1" applyBorder="1" applyAlignment="1">
      <alignment horizontal="center" vertical="top"/>
    </xf>
    <xf numFmtId="165" fontId="35" fillId="0" borderId="74" xfId="0" applyNumberFormat="1" applyFont="1" applyBorder="1" applyAlignment="1">
      <alignment wrapText="1"/>
    </xf>
    <xf numFmtId="165" fontId="0" fillId="0" borderId="75" xfId="0" applyNumberFormat="1" applyBorder="1"/>
    <xf numFmtId="165" fontId="35" fillId="0" borderId="55" xfId="0" applyNumberFormat="1" applyFont="1" applyBorder="1"/>
    <xf numFmtId="165" fontId="35" fillId="0" borderId="56" xfId="0" applyNumberFormat="1" applyFont="1" applyBorder="1"/>
    <xf numFmtId="165" fontId="3" fillId="0" borderId="55" xfId="1" applyNumberFormat="1" applyFont="1" applyFill="1" applyBorder="1" applyAlignment="1">
      <alignment vertical="top"/>
    </xf>
    <xf numFmtId="165" fontId="3" fillId="0" borderId="56" xfId="1" applyNumberFormat="1" applyFont="1" applyFill="1" applyBorder="1" applyAlignment="1">
      <alignment vertical="top"/>
    </xf>
    <xf numFmtId="165" fontId="35" fillId="0" borderId="55" xfId="0" applyNumberFormat="1" applyFont="1" applyBorder="1" applyAlignment="1">
      <alignment wrapText="1"/>
    </xf>
    <xf numFmtId="165" fontId="3" fillId="0" borderId="60" xfId="1" applyNumberFormat="1" applyFont="1" applyFill="1" applyBorder="1" applyAlignment="1">
      <alignment vertical="top"/>
    </xf>
    <xf numFmtId="165" fontId="3" fillId="0" borderId="61" xfId="1" applyNumberFormat="1" applyFont="1" applyFill="1" applyBorder="1" applyAlignment="1">
      <alignment vertical="top"/>
    </xf>
    <xf numFmtId="165" fontId="0" fillId="0" borderId="56" xfId="0" applyNumberFormat="1" applyBorder="1"/>
    <xf numFmtId="1" fontId="0" fillId="0" borderId="62" xfId="0" applyNumberFormat="1" applyBorder="1"/>
    <xf numFmtId="164" fontId="1" fillId="0" borderId="63" xfId="1" applyFont="1" applyFill="1" applyBorder="1" applyAlignment="1">
      <alignment vertical="top"/>
    </xf>
    <xf numFmtId="165" fontId="1" fillId="0" borderId="45" xfId="1" applyNumberFormat="1" applyFont="1" applyFill="1" applyBorder="1" applyAlignment="1">
      <alignment horizontal="center" vertical="top"/>
    </xf>
    <xf numFmtId="165" fontId="28" fillId="0" borderId="72" xfId="1" applyNumberFormat="1" applyFont="1" applyFill="1" applyBorder="1" applyAlignment="1">
      <alignment vertical="top"/>
    </xf>
    <xf numFmtId="165" fontId="28" fillId="0" borderId="77" xfId="1" applyNumberFormat="1" applyFont="1" applyFill="1" applyBorder="1" applyAlignment="1">
      <alignment vertical="top"/>
    </xf>
    <xf numFmtId="165" fontId="28" fillId="0" borderId="15" xfId="1" applyNumberFormat="1" applyFont="1" applyFill="1" applyBorder="1" applyAlignment="1">
      <alignment vertical="top"/>
    </xf>
    <xf numFmtId="165" fontId="28" fillId="0" borderId="16" xfId="1" applyNumberFormat="1" applyFont="1" applyFill="1" applyBorder="1" applyAlignment="1">
      <alignment vertical="top"/>
    </xf>
    <xf numFmtId="165" fontId="0" fillId="0" borderId="15" xfId="1" applyNumberFormat="1" applyFont="1" applyFill="1" applyBorder="1" applyAlignment="1">
      <alignment vertical="top"/>
    </xf>
    <xf numFmtId="165" fontId="0" fillId="0" borderId="16" xfId="1" applyNumberFormat="1" applyFont="1" applyFill="1" applyBorder="1" applyAlignment="1">
      <alignment vertical="top"/>
    </xf>
    <xf numFmtId="165" fontId="28" fillId="0" borderId="26" xfId="1" applyNumberFormat="1" applyFont="1" applyFill="1" applyBorder="1" applyAlignment="1">
      <alignment vertical="top"/>
    </xf>
    <xf numFmtId="165" fontId="28" fillId="0" borderId="25" xfId="1" applyNumberFormat="1" applyFont="1" applyFill="1" applyBorder="1" applyAlignment="1">
      <alignment vertical="top"/>
    </xf>
    <xf numFmtId="165" fontId="28" fillId="0" borderId="3" xfId="1" applyNumberFormat="1" applyFont="1" applyFill="1" applyBorder="1" applyAlignment="1">
      <alignment vertical="top"/>
    </xf>
    <xf numFmtId="165" fontId="28" fillId="0" borderId="1" xfId="1" applyNumberFormat="1" applyFont="1" applyFill="1" applyBorder="1" applyAlignment="1">
      <alignment vertical="top"/>
    </xf>
    <xf numFmtId="165" fontId="3" fillId="0" borderId="16" xfId="1" applyNumberFormat="1" applyFont="1" applyFill="1" applyBorder="1" applyAlignment="1">
      <alignment horizontal="left" vertical="top" indent="3"/>
    </xf>
    <xf numFmtId="165" fontId="0" fillId="0" borderId="15" xfId="0" applyNumberFormat="1" applyBorder="1"/>
    <xf numFmtId="165" fontId="28" fillId="0" borderId="0" xfId="1" applyNumberFormat="1" applyFont="1" applyFill="1" applyBorder="1" applyAlignment="1">
      <alignment vertical="top"/>
    </xf>
    <xf numFmtId="165" fontId="28" fillId="0" borderId="33" xfId="1" applyNumberFormat="1" applyFont="1" applyFill="1" applyBorder="1" applyAlignment="1">
      <alignment vertical="top"/>
    </xf>
    <xf numFmtId="165" fontId="28" fillId="0" borderId="34" xfId="1" applyNumberFormat="1" applyFont="1" applyFill="1" applyBorder="1" applyAlignment="1">
      <alignment vertical="top"/>
    </xf>
    <xf numFmtId="165" fontId="1" fillId="0" borderId="53" xfId="1" applyNumberFormat="1" applyFont="1" applyFill="1" applyBorder="1" applyAlignment="1">
      <alignment vertical="top"/>
    </xf>
    <xf numFmtId="0" fontId="42" fillId="0" borderId="0" xfId="0" applyFont="1" applyAlignment="1">
      <alignment vertical="top" wrapText="1" readingOrder="1"/>
    </xf>
    <xf numFmtId="164" fontId="6" fillId="0" borderId="37" xfId="1" applyFont="1" applyFill="1" applyBorder="1" applyAlignment="1">
      <alignment vertical="top"/>
    </xf>
    <xf numFmtId="0" fontId="6" fillId="0" borderId="42" xfId="1" applyNumberFormat="1" applyFont="1" applyFill="1" applyBorder="1" applyAlignment="1">
      <alignment vertical="top"/>
    </xf>
    <xf numFmtId="165" fontId="1" fillId="0" borderId="78" xfId="1" applyNumberFormat="1" applyFont="1" applyFill="1" applyBorder="1" applyAlignment="1">
      <alignment horizontal="right" vertical="top"/>
    </xf>
    <xf numFmtId="0" fontId="44" fillId="0" borderId="38" xfId="61" applyFont="1" applyBorder="1" applyAlignment="1">
      <alignment horizontal="center" vertical="top" wrapText="1" readingOrder="1"/>
    </xf>
    <xf numFmtId="0" fontId="40" fillId="35" borderId="0" xfId="65" applyFill="1"/>
    <xf numFmtId="0" fontId="0" fillId="35" borderId="0" xfId="0" applyFill="1"/>
    <xf numFmtId="0" fontId="37" fillId="0" borderId="0" xfId="61" applyFont="1" applyAlignment="1">
      <alignment vertical="top" wrapText="1" readingOrder="1"/>
    </xf>
    <xf numFmtId="0" fontId="37" fillId="0" borderId="57" xfId="61" applyFont="1" applyBorder="1" applyAlignment="1">
      <alignment vertical="top" wrapText="1" readingOrder="1"/>
    </xf>
    <xf numFmtId="0" fontId="37" fillId="0" borderId="0" xfId="61" applyFont="1" applyAlignment="1">
      <alignment horizontal="left" vertical="top" wrapText="1" readingOrder="1"/>
    </xf>
    <xf numFmtId="0" fontId="37" fillId="0" borderId="0" xfId="61" applyFont="1" applyAlignment="1">
      <alignment horizontal="right" vertical="top" wrapText="1" readingOrder="1"/>
    </xf>
    <xf numFmtId="0" fontId="37" fillId="0" borderId="58" xfId="61" applyFont="1" applyBorder="1" applyAlignment="1">
      <alignment vertical="top" wrapText="1" readingOrder="1"/>
    </xf>
    <xf numFmtId="0" fontId="37" fillId="0" borderId="39" xfId="61" applyFont="1" applyBorder="1" applyAlignment="1">
      <alignment vertical="top" wrapText="1" readingOrder="1"/>
    </xf>
    <xf numFmtId="0" fontId="37" fillId="0" borderId="39" xfId="61" applyFont="1" applyBorder="1" applyAlignment="1">
      <alignment horizontal="left" vertical="top" wrapText="1" readingOrder="1"/>
    </xf>
    <xf numFmtId="0" fontId="37" fillId="0" borderId="39" xfId="61" applyFont="1" applyBorder="1" applyAlignment="1">
      <alignment horizontal="right" vertical="top" wrapText="1" readingOrder="1"/>
    </xf>
    <xf numFmtId="0" fontId="37" fillId="0" borderId="40" xfId="61" applyFont="1" applyBorder="1" applyAlignment="1">
      <alignment horizontal="right" vertical="top" wrapText="1" readingOrder="1"/>
    </xf>
    <xf numFmtId="173" fontId="37" fillId="0" borderId="0" xfId="61" applyNumberFormat="1" applyFont="1" applyAlignment="1">
      <alignment vertical="top" wrapText="1" readingOrder="1"/>
    </xf>
    <xf numFmtId="170" fontId="37" fillId="0" borderId="0" xfId="61" applyNumberFormat="1" applyFont="1" applyAlignment="1">
      <alignment vertical="top" wrapText="1" readingOrder="1"/>
    </xf>
    <xf numFmtId="170" fontId="37" fillId="0" borderId="0" xfId="61" applyNumberFormat="1" applyFont="1" applyAlignment="1">
      <alignment horizontal="right" vertical="top" wrapText="1" readingOrder="1"/>
    </xf>
    <xf numFmtId="175" fontId="37" fillId="0" borderId="41" xfId="61" applyNumberFormat="1" applyFont="1" applyBorder="1" applyAlignment="1">
      <alignment horizontal="right" vertical="top" wrapText="1" readingOrder="1"/>
    </xf>
    <xf numFmtId="170" fontId="37" fillId="0" borderId="39" xfId="61" applyNumberFormat="1" applyFont="1" applyBorder="1" applyAlignment="1">
      <alignment horizontal="right" vertical="top" wrapText="1" readingOrder="1"/>
    </xf>
    <xf numFmtId="175" fontId="37" fillId="0" borderId="40" xfId="61" applyNumberFormat="1" applyFont="1" applyBorder="1" applyAlignment="1">
      <alignment vertical="top" wrapText="1" readingOrder="1"/>
    </xf>
    <xf numFmtId="164" fontId="6" fillId="0" borderId="21" xfId="64" applyFont="1" applyFill="1" applyBorder="1" applyAlignment="1">
      <alignment horizontal="center" vertical="top" wrapText="1"/>
    </xf>
    <xf numFmtId="164" fontId="6" fillId="0" borderId="22" xfId="64" applyFont="1" applyFill="1" applyBorder="1" applyAlignment="1">
      <alignment horizontal="center" vertical="top" wrapText="1"/>
    </xf>
    <xf numFmtId="164" fontId="1" fillId="0" borderId="17" xfId="64" applyFont="1" applyFill="1" applyBorder="1" applyAlignment="1">
      <alignment wrapText="1"/>
    </xf>
    <xf numFmtId="164" fontId="1" fillId="0" borderId="18" xfId="64" applyFont="1" applyFill="1" applyBorder="1" applyAlignment="1">
      <alignment wrapText="1"/>
    </xf>
    <xf numFmtId="164" fontId="1" fillId="0" borderId="17" xfId="64" applyFont="1" applyFill="1" applyBorder="1" applyAlignment="1">
      <alignment horizontal="center" vertical="top" wrapText="1"/>
    </xf>
    <xf numFmtId="164" fontId="1" fillId="0" borderId="18" xfId="64" applyFont="1" applyFill="1" applyBorder="1" applyAlignment="1">
      <alignment horizontal="center" vertical="top" wrapText="1"/>
    </xf>
    <xf numFmtId="164" fontId="6" fillId="0" borderId="17" xfId="64" applyFont="1" applyFill="1" applyBorder="1" applyAlignment="1">
      <alignment horizontal="center" vertical="top" wrapText="1"/>
    </xf>
    <xf numFmtId="164" fontId="6" fillId="0" borderId="18" xfId="64" applyFont="1" applyFill="1" applyBorder="1" applyAlignment="1">
      <alignment horizontal="center" vertical="top" wrapText="1"/>
    </xf>
    <xf numFmtId="164" fontId="1" fillId="0" borderId="21" xfId="64" applyFont="1" applyFill="1" applyBorder="1" applyAlignment="1">
      <alignment horizontal="left" vertical="top" wrapText="1"/>
    </xf>
    <xf numFmtId="164" fontId="1" fillId="0" borderId="22" xfId="64" applyFont="1" applyFill="1" applyBorder="1" applyAlignment="1">
      <alignment horizontal="left" vertical="top" wrapText="1"/>
    </xf>
    <xf numFmtId="0" fontId="44" fillId="0" borderId="0" xfId="61" applyFont="1" applyAlignment="1">
      <alignment vertical="top" wrapText="1" readingOrder="1"/>
    </xf>
    <xf numFmtId="0" fontId="43" fillId="0" borderId="0" xfId="61" applyFont="1"/>
    <xf numFmtId="0" fontId="37" fillId="0" borderId="0" xfId="61" applyFont="1" applyAlignment="1">
      <alignment vertical="top" wrapText="1" readingOrder="1"/>
    </xf>
    <xf numFmtId="0" fontId="44" fillId="0" borderId="38" xfId="61" applyFont="1" applyBorder="1" applyAlignment="1">
      <alignment horizontal="center" vertical="top" wrapText="1" readingOrder="1"/>
    </xf>
    <xf numFmtId="0" fontId="43" fillId="0" borderId="39" xfId="61" applyFont="1" applyBorder="1" applyAlignment="1">
      <alignment vertical="top" wrapText="1"/>
    </xf>
    <xf numFmtId="0" fontId="43" fillId="0" borderId="40" xfId="61" applyFont="1" applyBorder="1" applyAlignment="1">
      <alignment vertical="top" wrapText="1"/>
    </xf>
    <xf numFmtId="164" fontId="1" fillId="0" borderId="43" xfId="1" applyFont="1" applyFill="1" applyBorder="1" applyAlignment="1">
      <alignment horizontal="left" vertical="top" wrapText="1"/>
    </xf>
    <xf numFmtId="164" fontId="27" fillId="0" borderId="59" xfId="1" applyFont="1" applyFill="1" applyBorder="1" applyAlignment="1">
      <alignment horizontal="left" vertical="top" wrapText="1"/>
    </xf>
    <xf numFmtId="164" fontId="27" fillId="0" borderId="43" xfId="1" applyFont="1" applyFill="1" applyBorder="1" applyAlignment="1">
      <alignment horizontal="center" vertical="top" wrapText="1"/>
    </xf>
    <xf numFmtId="164" fontId="27" fillId="0" borderId="59" xfId="1" applyFont="1" applyFill="1" applyBorder="1" applyAlignment="1">
      <alignment horizontal="center" vertical="top" wrapText="1"/>
    </xf>
    <xf numFmtId="164" fontId="1" fillId="0" borderId="43" xfId="1" applyFont="1" applyFill="1" applyBorder="1" applyAlignment="1">
      <alignment horizontal="center" vertical="top" wrapText="1"/>
    </xf>
    <xf numFmtId="164" fontId="27" fillId="0" borderId="54" xfId="1" applyFont="1" applyFill="1" applyBorder="1" applyAlignment="1">
      <alignment horizontal="center" vertical="top" wrapText="1"/>
    </xf>
    <xf numFmtId="164" fontId="6" fillId="0" borderId="44" xfId="1" applyFont="1" applyFill="1" applyBorder="1" applyAlignment="1">
      <alignment horizontal="center" vertical="top" wrapText="1"/>
    </xf>
    <xf numFmtId="164" fontId="6" fillId="0" borderId="69" xfId="1" applyFont="1" applyFill="1" applyBorder="1" applyAlignment="1">
      <alignment horizontal="center" vertical="top" wrapText="1"/>
    </xf>
    <xf numFmtId="164" fontId="1" fillId="0" borderId="70" xfId="1" applyFont="1" applyFill="1" applyBorder="1" applyAlignment="1">
      <alignment horizontal="center" vertical="top" wrapText="1"/>
    </xf>
    <xf numFmtId="164" fontId="1" fillId="0" borderId="68" xfId="1" applyFont="1" applyFill="1" applyBorder="1" applyAlignment="1">
      <alignment horizontal="center" vertical="top" wrapText="1"/>
    </xf>
    <xf numFmtId="164" fontId="6" fillId="0" borderId="71" xfId="1" applyFont="1" applyFill="1" applyBorder="1" applyAlignment="1">
      <alignment horizontal="center" vertical="top" wrapText="1"/>
    </xf>
    <xf numFmtId="164" fontId="6" fillId="0" borderId="68" xfId="1" applyFont="1" applyFill="1" applyBorder="1" applyAlignment="1">
      <alignment horizontal="center" vertical="top" wrapText="1"/>
    </xf>
  </cellXfs>
  <cellStyles count="69">
    <cellStyle name="20 % - Farve1" xfId="22" builtinId="30" customBuiltin="1"/>
    <cellStyle name="20 % - Farve1 2" xfId="49" xr:uid="{00000000-0005-0000-0000-000036000000}"/>
    <cellStyle name="20 % - Farve2" xfId="26" builtinId="34" customBuiltin="1"/>
    <cellStyle name="20 % - Farve2 2" xfId="51" xr:uid="{00000000-0005-0000-0000-000037000000}"/>
    <cellStyle name="20 % - Farve3" xfId="30" builtinId="38" customBuiltin="1"/>
    <cellStyle name="20 % - Farve3 2" xfId="53" xr:uid="{00000000-0005-0000-0000-000038000000}"/>
    <cellStyle name="20 % - Farve4" xfId="34" builtinId="42" customBuiltin="1"/>
    <cellStyle name="20 % - Farve4 2" xfId="55" xr:uid="{00000000-0005-0000-0000-000039000000}"/>
    <cellStyle name="20 % - Farve5" xfId="38" builtinId="46" customBuiltin="1"/>
    <cellStyle name="20 % - Farve5 2" xfId="57" xr:uid="{00000000-0005-0000-0000-00003A000000}"/>
    <cellStyle name="20 % - Farve6" xfId="42" builtinId="50" customBuiltin="1"/>
    <cellStyle name="20 % - Farve6 2" xfId="59" xr:uid="{00000000-0005-0000-0000-00003B000000}"/>
    <cellStyle name="40 % - Farve1" xfId="23" builtinId="31" customBuiltin="1"/>
    <cellStyle name="40 % - Farve1 2" xfId="50" xr:uid="{00000000-0005-0000-0000-00003C000000}"/>
    <cellStyle name="40 % - Farve2" xfId="27" builtinId="35" customBuiltin="1"/>
    <cellStyle name="40 % - Farve2 2" xfId="52" xr:uid="{00000000-0005-0000-0000-00003D000000}"/>
    <cellStyle name="40 % - Farve3" xfId="31" builtinId="39" customBuiltin="1"/>
    <cellStyle name="40 % - Farve3 2" xfId="54" xr:uid="{00000000-0005-0000-0000-00003E000000}"/>
    <cellStyle name="40 % - Farve4" xfId="35" builtinId="43" customBuiltin="1"/>
    <cellStyle name="40 % - Farve4 2" xfId="56" xr:uid="{00000000-0005-0000-0000-00003F000000}"/>
    <cellStyle name="40 % - Farve5" xfId="39" builtinId="47" customBuiltin="1"/>
    <cellStyle name="40 % - Farve5 2" xfId="58" xr:uid="{00000000-0005-0000-0000-000040000000}"/>
    <cellStyle name="40 % - Farve6" xfId="43" builtinId="51" customBuiltin="1"/>
    <cellStyle name="40 % - Farve6 2" xfId="60" xr:uid="{00000000-0005-0000-0000-000041000000}"/>
    <cellStyle name="60 % - Farve1" xfId="24" builtinId="32" customBuiltin="1"/>
    <cellStyle name="60 % - Farve2" xfId="28" builtinId="36" customBuiltin="1"/>
    <cellStyle name="60 % - Farve3" xfId="32" builtinId="40" customBuiltin="1"/>
    <cellStyle name="60 % - Farve4" xfId="36" builtinId="44" customBuiltin="1"/>
    <cellStyle name="60 % - Farve5" xfId="40" builtinId="48" customBuiltin="1"/>
    <cellStyle name="60 % - Farve6" xfId="44" builtinId="52" customBuiltin="1"/>
    <cellStyle name="Advarselstekst" xfId="17" builtinId="11" customBuiltin="1"/>
    <cellStyle name="Bemærk!" xfId="18" builtinId="10" customBuiltin="1"/>
    <cellStyle name="Bemærk! 2" xfId="48" xr:uid="{00000000-0005-0000-0000-000042000000}"/>
    <cellStyle name="Beregning" xfId="14" builtinId="22" customBuiltin="1"/>
    <cellStyle name="Farve1" xfId="21" builtinId="29" customBuiltin="1"/>
    <cellStyle name="Farve2" xfId="25" builtinId="33" customBuiltin="1"/>
    <cellStyle name="Farve3" xfId="29" builtinId="37" customBuiltin="1"/>
    <cellStyle name="Farve4" xfId="33" builtinId="41" customBuiltin="1"/>
    <cellStyle name="Farve5" xfId="37" builtinId="45" customBuiltin="1"/>
    <cellStyle name="Farve6" xfId="41" builtinId="49" customBuiltin="1"/>
    <cellStyle name="Forklarende tekst" xfId="19" builtinId="53" customBuiltin="1"/>
    <cellStyle name="God" xfId="9" builtinId="26" customBuiltin="1"/>
    <cellStyle name="Input" xfId="12" builtinId="20" customBuiltin="1"/>
    <cellStyle name="Komma" xfId="1" builtinId="3"/>
    <cellStyle name="Komma 2" xfId="64" xr:uid="{1FDA5418-B14F-4923-9BC4-880FC2F2D975}"/>
    <cellStyle name="Komma 3" xfId="66" xr:uid="{F2CED34D-B581-4DA3-902B-F54848217729}"/>
    <cellStyle name="Kontrollér celle" xfId="16" builtinId="23" customBuiltin="1"/>
    <cellStyle name="Neutral" xfId="11" builtinId="28" customBuiltin="1"/>
    <cellStyle name="Normal" xfId="0" builtinId="0"/>
    <cellStyle name="Normal 2" xfId="2" xr:uid="{00000000-0005-0000-0000-000023000000}"/>
    <cellStyle name="Normal 3" xfId="3" xr:uid="{00000000-0005-0000-0000-000024000000}"/>
    <cellStyle name="Normal 3 2" xfId="45" xr:uid="{00000000-0005-0000-0000-000025000000}"/>
    <cellStyle name="Normal 4" xfId="46" xr:uid="{00000000-0005-0000-0000-000026000000}"/>
    <cellStyle name="Normal 5" xfId="47" xr:uid="{00000000-0005-0000-0000-000027000000}"/>
    <cellStyle name="Normal 6" xfId="61" xr:uid="{05291305-6670-4350-AB04-42E56C33D8AD}"/>
    <cellStyle name="Normal 7" xfId="65" xr:uid="{12B49A5C-8D44-493C-9FC8-8A9CEEEE005F}"/>
    <cellStyle name="Output" xfId="13" builtinId="21" customBuiltin="1"/>
    <cellStyle name="Overskrift 1" xfId="5" builtinId="16" customBuiltin="1"/>
    <cellStyle name="Overskrift 2" xfId="6" builtinId="17" customBuiltin="1"/>
    <cellStyle name="Overskrift 3" xfId="7" builtinId="18" customBuiltin="1"/>
    <cellStyle name="Overskrift 4" xfId="8" builtinId="19" customBuiltin="1"/>
    <cellStyle name="Procent" xfId="63" builtinId="5"/>
    <cellStyle name="Procent 2" xfId="67" xr:uid="{C5C7C172-F6F2-4286-8077-CC06704F4DA1}"/>
    <cellStyle name="Sammenkædet celle" xfId="15" builtinId="24" customBuiltin="1"/>
    <cellStyle name="SAPDataCell" xfId="62" xr:uid="{1D27F6C0-557C-4698-B0B3-9D9A97B225AF}"/>
    <cellStyle name="Titel" xfId="4" builtinId="15" customBuiltin="1"/>
    <cellStyle name="Total" xfId="20" builtinId="25" customBuiltin="1"/>
    <cellStyle name="Ugyldig" xfId="10" builtinId="27" customBuiltin="1"/>
    <cellStyle name="Valuta 2" xfId="68" xr:uid="{BB5CEB7B-6D1E-4684-8FEE-D91833158CEB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haaningogmerrald.sharepoint.com/sites/HaaningMerrald/Shared%20Documents/A5%20Kunder/Fures&#248;/&#216;kologim&#229;ling/2025Q4/Data%20fra%20leverand&#248;rer/Nemlig%20Ecology%20report%20-%20Fures&#248;_4kvt_2025.xlsx" TargetMode="External"/><Relationship Id="rId1" Type="http://schemas.openxmlformats.org/officeDocument/2006/relationships/externalLinkPath" Target="Data%20fra%20leverand&#248;rer/Nemlig%20Ecology%20report%20-%20Fures&#248;_4kvt_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ktober-december"/>
      <sheetName val="Varespeficikationer"/>
    </sheetNames>
    <sheetDataSet>
      <sheetData sheetId="0">
        <row r="2">
          <cell r="A2">
            <v>1043650</v>
          </cell>
          <cell r="B2" t="str">
            <v>Lynghuset</v>
          </cell>
          <cell r="C2" t="str">
            <v>ttk@furesoe.dk</v>
          </cell>
          <cell r="D2" t="str">
            <v>5798008506925</v>
          </cell>
          <cell r="E2">
            <v>683.18799999999999</v>
          </cell>
          <cell r="F2">
            <v>879.49099999999999</v>
          </cell>
        </row>
        <row r="3">
          <cell r="A3">
            <v>2144619</v>
          </cell>
          <cell r="B3" t="str">
            <v>Søndersø Botræningstilbud</v>
          </cell>
          <cell r="C3" t="str">
            <v>asf-botilbud@furesoe.dk</v>
          </cell>
          <cell r="D3" t="str">
            <v>5798008506826</v>
          </cell>
          <cell r="E3">
            <v>467.04399999999998</v>
          </cell>
          <cell r="F3">
            <v>1000.5650000000001</v>
          </cell>
        </row>
        <row r="4">
          <cell r="A4">
            <v>1218014</v>
          </cell>
          <cell r="B4" t="str">
            <v>Bofællesskabet  Svanepunktet</v>
          </cell>
          <cell r="C4" t="str">
            <v>muj@furesoe.dk</v>
          </cell>
          <cell r="D4" t="str">
            <v>5798008507519</v>
          </cell>
          <cell r="E4">
            <v>328.02300000000002</v>
          </cell>
          <cell r="F4">
            <v>2443.5680000000002</v>
          </cell>
        </row>
        <row r="5">
          <cell r="A5">
            <v>2163130</v>
          </cell>
          <cell r="B5" t="str">
            <v>Ffo Lyngholm</v>
          </cell>
          <cell r="C5" t="str">
            <v>trr1@furesoe.dk</v>
          </cell>
          <cell r="D5" t="str">
            <v>5798008507199</v>
          </cell>
          <cell r="E5">
            <v>282.12</v>
          </cell>
          <cell r="F5">
            <v>414.14100000000002</v>
          </cell>
        </row>
        <row r="6">
          <cell r="A6">
            <v>2164133</v>
          </cell>
          <cell r="B6" t="str">
            <v>Farumsødal integreret institution</v>
          </cell>
          <cell r="C6" t="str">
            <v>pipa@furesoe.dk</v>
          </cell>
          <cell r="D6" t="str">
            <v>5798008504297</v>
          </cell>
          <cell r="E6">
            <v>176.79900000000001</v>
          </cell>
          <cell r="F6">
            <v>205.41200000000001</v>
          </cell>
        </row>
        <row r="7">
          <cell r="A7">
            <v>1198425</v>
          </cell>
          <cell r="B7" t="str">
            <v>Børnehuset Siv</v>
          </cell>
          <cell r="C7" t="str">
            <v>info@bhsiv.dk</v>
          </cell>
          <cell r="D7" t="str">
            <v>5798008504938</v>
          </cell>
          <cell r="E7">
            <v>188.66499999999999</v>
          </cell>
          <cell r="F7">
            <v>399.81400000000002</v>
          </cell>
        </row>
        <row r="8">
          <cell r="A8">
            <v>2336518</v>
          </cell>
          <cell r="B8" t="str">
            <v>Farum Lilleskole</v>
          </cell>
          <cell r="C8" t="str">
            <v>sfo@farumlilleskole.dk</v>
          </cell>
          <cell r="D8" t="str">
            <v>5797200076298</v>
          </cell>
          <cell r="E8">
            <v>272.483</v>
          </cell>
          <cell r="F8">
            <v>403.14100000000002</v>
          </cell>
        </row>
        <row r="9">
          <cell r="A9">
            <v>2174467</v>
          </cell>
          <cell r="B9" t="str">
            <v>Solbjerghaven</v>
          </cell>
          <cell r="C9" t="str">
            <v>solbjerghavenplejecenter@furesoe.dk</v>
          </cell>
          <cell r="D9" t="str">
            <v>5798008526657</v>
          </cell>
          <cell r="E9">
            <v>236.77199999999999</v>
          </cell>
          <cell r="F9">
            <v>795.59400000000005</v>
          </cell>
        </row>
        <row r="10">
          <cell r="A10">
            <v>1128479</v>
          </cell>
          <cell r="B10" t="str">
            <v>Hareskov FFO</v>
          </cell>
          <cell r="C10" t="str">
            <v>nemlig@hareskov-ffo.dk</v>
          </cell>
          <cell r="D10" t="str">
            <v>5798008526435</v>
          </cell>
          <cell r="E10">
            <v>241.72499999999999</v>
          </cell>
          <cell r="F10">
            <v>980.47900000000004</v>
          </cell>
        </row>
        <row r="11">
          <cell r="A11">
            <v>1145780</v>
          </cell>
          <cell r="B11" t="str">
            <v>Hareskov skole</v>
          </cell>
          <cell r="C11" t="str">
            <v>hareskovskole@furesoe.dk</v>
          </cell>
          <cell r="D11" t="str">
            <v>5798008526565</v>
          </cell>
          <cell r="E11">
            <v>149.92099999999999</v>
          </cell>
          <cell r="F11">
            <v>404.71499999999997</v>
          </cell>
        </row>
        <row r="12">
          <cell r="A12">
            <v>2167011</v>
          </cell>
          <cell r="B12" t="str">
            <v>Fritidsklubben Solbjerggård</v>
          </cell>
          <cell r="C12" t="str">
            <v>henje@furesoe.dk</v>
          </cell>
          <cell r="D12" t="str">
            <v>5798008503948</v>
          </cell>
          <cell r="E12">
            <v>176.58</v>
          </cell>
          <cell r="F12">
            <v>1369.0840000000001</v>
          </cell>
        </row>
        <row r="13">
          <cell r="A13">
            <v>1091281</v>
          </cell>
          <cell r="B13" t="str">
            <v>Furesøgaard fritidsklub</v>
          </cell>
          <cell r="C13" t="str">
            <v>konto@furesoegaard.dk</v>
          </cell>
          <cell r="D13" t="str">
            <v>5798008504983</v>
          </cell>
          <cell r="E13">
            <v>142.85499999999999</v>
          </cell>
          <cell r="F13">
            <v>1604.6420000000001</v>
          </cell>
        </row>
        <row r="14">
          <cell r="A14">
            <v>1004359</v>
          </cell>
          <cell r="B14" t="str">
            <v>Søndersøskolen</v>
          </cell>
          <cell r="C14" t="str">
            <v>sondersoskolen@furesoe.dk</v>
          </cell>
          <cell r="D14" t="str">
            <v>5798008526596</v>
          </cell>
          <cell r="E14">
            <v>98.927999999999997</v>
          </cell>
          <cell r="F14">
            <v>390.57400000000001</v>
          </cell>
        </row>
        <row r="15">
          <cell r="A15">
            <v>1613945</v>
          </cell>
          <cell r="B15" t="str">
            <v>Specialbørnehaven Humlehaven</v>
          </cell>
          <cell r="C15" t="str">
            <v>visv@furesoe.dk</v>
          </cell>
          <cell r="D15" t="str">
            <v>5798008504396</v>
          </cell>
          <cell r="E15">
            <v>112.446</v>
          </cell>
          <cell r="F15">
            <v>158.65600000000001</v>
          </cell>
        </row>
        <row r="16">
          <cell r="A16">
            <v>2162953</v>
          </cell>
          <cell r="B16" t="str">
            <v>Lillestjernen</v>
          </cell>
          <cell r="C16" t="str">
            <v>susi.andersen@fureskoler.dk</v>
          </cell>
          <cell r="D16" t="str">
            <v>5798008526466</v>
          </cell>
          <cell r="E16">
            <v>58.917000000000002</v>
          </cell>
          <cell r="F16">
            <v>68.494</v>
          </cell>
        </row>
        <row r="17">
          <cell r="A17">
            <v>2222649</v>
          </cell>
          <cell r="B17" t="str">
            <v>Lille Værløse Skole FFO (Jonstrup afd.)</v>
          </cell>
          <cell r="C17" t="str">
            <v>dann2567@fureskoler.dk</v>
          </cell>
          <cell r="D17" t="str">
            <v>5798008526572</v>
          </cell>
          <cell r="E17">
            <v>73.938999999999993</v>
          </cell>
          <cell r="F17">
            <v>458.84100000000001</v>
          </cell>
        </row>
        <row r="18">
          <cell r="A18">
            <v>1066946</v>
          </cell>
          <cell r="B18" t="str">
            <v>Furesø familiehus</v>
          </cell>
          <cell r="C18" t="str">
            <v>mlc4@furesoe.dk</v>
          </cell>
          <cell r="D18" t="str">
            <v>5798008504020</v>
          </cell>
          <cell r="E18">
            <v>147.23099999999999</v>
          </cell>
          <cell r="F18">
            <v>200.25700000000001</v>
          </cell>
        </row>
        <row r="19">
          <cell r="A19">
            <v>2162988</v>
          </cell>
          <cell r="B19" t="str">
            <v>Lille Værløse Skole/ Madkundskab</v>
          </cell>
          <cell r="C19" t="str">
            <v>juli301s@fureskoler.dk</v>
          </cell>
          <cell r="D19" t="str">
            <v>5798008526572</v>
          </cell>
          <cell r="E19">
            <v>71.960999999999999</v>
          </cell>
          <cell r="F19">
            <v>344.43700000000001</v>
          </cell>
        </row>
        <row r="20">
          <cell r="A20">
            <v>1136302</v>
          </cell>
          <cell r="B20" t="str">
            <v>FFO Stavnsholt</v>
          </cell>
          <cell r="C20" t="str">
            <v>kikiklarskov@yahoo.dk</v>
          </cell>
          <cell r="D20" t="str">
            <v>5798008507229</v>
          </cell>
          <cell r="E20">
            <v>128.673</v>
          </cell>
          <cell r="F20">
            <v>431.608</v>
          </cell>
        </row>
        <row r="21">
          <cell r="A21">
            <v>1839601</v>
          </cell>
          <cell r="B21" t="str">
            <v>Bofællesskabet Syvstjerne Vænge</v>
          </cell>
          <cell r="C21" t="str">
            <v>jeh3@furesoe.dk</v>
          </cell>
          <cell r="D21" t="str">
            <v>5798008507762</v>
          </cell>
          <cell r="E21">
            <v>118.185</v>
          </cell>
          <cell r="F21">
            <v>478.24900000000002</v>
          </cell>
        </row>
        <row r="22">
          <cell r="A22">
            <v>2161308</v>
          </cell>
          <cell r="B22" t="str">
            <v>Solvangskolen (kontor)</v>
          </cell>
          <cell r="C22" t="str">
            <v>ahc@furesoe.dk</v>
          </cell>
          <cell r="D22" t="str">
            <v>5798008504624</v>
          </cell>
          <cell r="E22">
            <v>59.97</v>
          </cell>
          <cell r="F22">
            <v>425.49799999999999</v>
          </cell>
        </row>
        <row r="23">
          <cell r="A23">
            <v>1123703</v>
          </cell>
          <cell r="B23" t="str">
            <v>Søndersø FFO 1</v>
          </cell>
          <cell r="C23" t="str">
            <v>peter.norager.job@gmail.com</v>
          </cell>
          <cell r="D23" t="str">
            <v>5798008507243</v>
          </cell>
          <cell r="E23">
            <v>28.934999999999999</v>
          </cell>
          <cell r="F23">
            <v>317.08699999999999</v>
          </cell>
        </row>
        <row r="24">
          <cell r="A24">
            <v>1166810</v>
          </cell>
          <cell r="B24" t="str">
            <v>Lyngholmskolen - Madkundskab</v>
          </cell>
          <cell r="C24" t="str">
            <v>lyngholmskolen@furesoe.dk</v>
          </cell>
          <cell r="D24" t="str">
            <v>5798008507274</v>
          </cell>
          <cell r="E24">
            <v>48.012999999999998</v>
          </cell>
          <cell r="F24">
            <v>241.47399999999999</v>
          </cell>
        </row>
        <row r="25">
          <cell r="A25">
            <v>2214784</v>
          </cell>
          <cell r="B25" t="str">
            <v>Solvangskolen</v>
          </cell>
          <cell r="C25" t="str">
            <v>solvangskolen@furesoe.dk</v>
          </cell>
          <cell r="D25" t="str">
            <v>5798008504624</v>
          </cell>
          <cell r="E25">
            <v>44.128</v>
          </cell>
          <cell r="F25">
            <v>223.57499999999999</v>
          </cell>
        </row>
        <row r="26">
          <cell r="A26">
            <v>1216525</v>
          </cell>
          <cell r="B26" t="str">
            <v>Syvstjerneskolen</v>
          </cell>
          <cell r="C26" t="str">
            <v>pernille.hoejer.iversen@fureskoler.dk</v>
          </cell>
          <cell r="D26" t="str">
            <v>5798008526589</v>
          </cell>
          <cell r="E26">
            <v>54.552999999999997</v>
          </cell>
          <cell r="F26">
            <v>386.35599999999999</v>
          </cell>
        </row>
        <row r="27">
          <cell r="A27">
            <v>1088515</v>
          </cell>
          <cell r="B27" t="str">
            <v>Fritids-ungdomsklubben Regnbuen</v>
          </cell>
          <cell r="C27" t="str">
            <v>kala@furesoe.dk</v>
          </cell>
          <cell r="D27" t="str">
            <v>5798008507199</v>
          </cell>
          <cell r="E27">
            <v>71.441000000000003</v>
          </cell>
          <cell r="F27">
            <v>210.68899999999999</v>
          </cell>
        </row>
        <row r="28">
          <cell r="A28">
            <v>1192523</v>
          </cell>
          <cell r="B28" t="str">
            <v>Egeskolen</v>
          </cell>
          <cell r="C28" t="str">
            <v>egeskolenkantine@gmail.com</v>
          </cell>
          <cell r="D28" t="str">
            <v>5798008526602</v>
          </cell>
          <cell r="E28">
            <v>40.637</v>
          </cell>
          <cell r="F28">
            <v>439.76100000000002</v>
          </cell>
        </row>
        <row r="29">
          <cell r="A29">
            <v>1573820</v>
          </cell>
          <cell r="B29" t="str">
            <v>syvstjerneskolen</v>
          </cell>
          <cell r="C29" t="str">
            <v>mathias.munck.soee-jensen@fureskoler.dk</v>
          </cell>
          <cell r="D29" t="str">
            <v>5798008526589</v>
          </cell>
          <cell r="E29">
            <v>17.068000000000001</v>
          </cell>
          <cell r="F29">
            <v>43.890999999999998</v>
          </cell>
        </row>
        <row r="30">
          <cell r="A30">
            <v>2163049</v>
          </cell>
          <cell r="B30" t="str">
            <v>Børnehuset Solbjerg</v>
          </cell>
          <cell r="C30" t="str">
            <v>lesd@furesoe.dk</v>
          </cell>
          <cell r="D30" t="str">
            <v>5798008526411</v>
          </cell>
          <cell r="E30">
            <v>22.402999999999999</v>
          </cell>
          <cell r="F30">
            <v>27.234999999999999</v>
          </cell>
        </row>
        <row r="31">
          <cell r="A31">
            <v>1111606</v>
          </cell>
          <cell r="B31" t="str">
            <v>Hareskov Skole</v>
          </cell>
          <cell r="C31" t="str">
            <v>ma@furesoe.dk</v>
          </cell>
          <cell r="D31" t="str">
            <v>5798008526565</v>
          </cell>
          <cell r="E31">
            <v>20.384</v>
          </cell>
          <cell r="F31">
            <v>219.06</v>
          </cell>
        </row>
        <row r="32">
          <cell r="A32">
            <v>1199339</v>
          </cell>
          <cell r="B32" t="str">
            <v>Syvstjerneskolen</v>
          </cell>
          <cell r="C32" t="str">
            <v>syvstjerneskolen@furesoe.dk</v>
          </cell>
          <cell r="D32" t="str">
            <v>5798008526589</v>
          </cell>
          <cell r="E32">
            <v>6.46</v>
          </cell>
          <cell r="F32">
            <v>111.541</v>
          </cell>
        </row>
        <row r="33">
          <cell r="A33">
            <v>1383843</v>
          </cell>
          <cell r="B33" t="str">
            <v>Skolelandbruget og Haver til Maver</v>
          </cell>
          <cell r="C33" t="str">
            <v>ltr3@furesoe.dk</v>
          </cell>
          <cell r="D33" t="str">
            <v>5798008504587</v>
          </cell>
          <cell r="E33">
            <v>19.327000000000002</v>
          </cell>
          <cell r="F33">
            <v>34.49</v>
          </cell>
        </row>
        <row r="34">
          <cell r="A34">
            <v>2386462</v>
          </cell>
          <cell r="B34" t="str">
            <v>Lille Værløse Skole, gr.ordn. MAD+KLUB</v>
          </cell>
          <cell r="C34" t="str">
            <v>jett2272@fureskoler.dk</v>
          </cell>
          <cell r="D34" t="str">
            <v>5798008526572</v>
          </cell>
          <cell r="E34">
            <v>13.846</v>
          </cell>
          <cell r="F34">
            <v>415.755</v>
          </cell>
        </row>
        <row r="35">
          <cell r="A35">
            <v>1098703</v>
          </cell>
          <cell r="B35" t="str">
            <v>Stavnsholtskolen</v>
          </cell>
          <cell r="C35" t="str">
            <v>stavnsholtskolen@furesoe.dk</v>
          </cell>
          <cell r="D35" t="str">
            <v>5798008504631</v>
          </cell>
          <cell r="E35">
            <v>14.938000000000001</v>
          </cell>
          <cell r="F35">
            <v>419.69799999999998</v>
          </cell>
        </row>
        <row r="36">
          <cell r="A36">
            <v>2361189</v>
          </cell>
          <cell r="B36" t="str">
            <v>skole</v>
          </cell>
          <cell r="C36" t="str">
            <v>soph0052@fureskoler.dk</v>
          </cell>
          <cell r="D36" t="str">
            <v>5798008504631</v>
          </cell>
          <cell r="E36">
            <v>12.433999999999999</v>
          </cell>
          <cell r="F36">
            <v>62.234000000000002</v>
          </cell>
        </row>
        <row r="37">
          <cell r="A37">
            <v>2232789</v>
          </cell>
          <cell r="B37" t="str">
            <v>Birkhøj</v>
          </cell>
          <cell r="C37" t="str">
            <v>seem0019@furedagtilbud.dk</v>
          </cell>
          <cell r="D37" t="str">
            <v>5798008504358</v>
          </cell>
          <cell r="E37">
            <v>3.0539999999999998</v>
          </cell>
          <cell r="F37">
            <v>7.4569999999999999</v>
          </cell>
        </row>
        <row r="38">
          <cell r="A38">
            <v>2243447</v>
          </cell>
          <cell r="B38" t="str">
            <v>Kulturhuset Galaksen</v>
          </cell>
          <cell r="C38" t="str">
            <v>gsv1@furesoe.dk</v>
          </cell>
          <cell r="D38" t="str">
            <v>5798008527425</v>
          </cell>
          <cell r="E38">
            <v>10.574</v>
          </cell>
          <cell r="F38">
            <v>87.040999999999997</v>
          </cell>
        </row>
        <row r="39">
          <cell r="A39">
            <v>2162723</v>
          </cell>
          <cell r="B39" t="str">
            <v>Espebo Børnecenter</v>
          </cell>
          <cell r="C39" t="str">
            <v>tist@furesoe.dk</v>
          </cell>
          <cell r="D39" t="str">
            <v>5798008526336</v>
          </cell>
          <cell r="E39">
            <v>16.16</v>
          </cell>
          <cell r="F39">
            <v>20.736999999999998</v>
          </cell>
        </row>
        <row r="40">
          <cell r="A40">
            <v>1613144</v>
          </cell>
          <cell r="B40" t="str">
            <v>Sprogcenter Furesø</v>
          </cell>
          <cell r="C40" t="str">
            <v>sprogcenter@furesoe.dk</v>
          </cell>
          <cell r="D40" t="str">
            <v>5798008503962</v>
          </cell>
          <cell r="E40">
            <v>8.0950000000000006</v>
          </cell>
          <cell r="F40">
            <v>21.131</v>
          </cell>
        </row>
        <row r="41">
          <cell r="A41">
            <v>2164335</v>
          </cell>
          <cell r="B41" t="str">
            <v>Solvang ffo</v>
          </cell>
          <cell r="C41" t="str">
            <v>bu-solvangfritidstilbud@furesoe.dk</v>
          </cell>
          <cell r="D41" t="str">
            <v>5798008507212</v>
          </cell>
          <cell r="E41">
            <v>1.5469999999999999</v>
          </cell>
          <cell r="F41">
            <v>354.738</v>
          </cell>
        </row>
        <row r="42">
          <cell r="A42">
            <v>2407997</v>
          </cell>
          <cell r="B42" t="str">
            <v>Hareskov Børnehus</v>
          </cell>
          <cell r="C42" t="str">
            <v>sth1@furesoe.dk</v>
          </cell>
          <cell r="D42" t="str">
            <v>5798008526343</v>
          </cell>
          <cell r="E42">
            <v>8.2919999999999998</v>
          </cell>
          <cell r="F42">
            <v>11.39</v>
          </cell>
        </row>
        <row r="43">
          <cell r="A43">
            <v>2406065</v>
          </cell>
          <cell r="B43" t="str">
            <v>Furesøgård Fritidsklub</v>
          </cell>
          <cell r="C43" t="str">
            <v>administration@furesoegaard.dk</v>
          </cell>
          <cell r="D43" t="str">
            <v>5798008504983</v>
          </cell>
          <cell r="E43">
            <v>3.472</v>
          </cell>
          <cell r="F43">
            <v>43.337000000000003</v>
          </cell>
        </row>
        <row r="44">
          <cell r="A44">
            <v>1232086</v>
          </cell>
          <cell r="B44" t="str">
            <v>Stavnsholt Børnehus</v>
          </cell>
          <cell r="C44" t="str">
            <v>heho@furesoe.dk</v>
          </cell>
          <cell r="D44" t="str">
            <v>5798008504440</v>
          </cell>
          <cell r="E44">
            <v>0.16</v>
          </cell>
          <cell r="F44">
            <v>3.6760000000000002</v>
          </cell>
        </row>
        <row r="45">
          <cell r="A45">
            <v>1149830</v>
          </cell>
          <cell r="B45" t="str">
            <v>Egeskolen</v>
          </cell>
          <cell r="C45" t="str">
            <v>lep@furesoe.dk</v>
          </cell>
          <cell r="D45" t="str">
            <v>5798008526602</v>
          </cell>
          <cell r="E45">
            <v>0.34</v>
          </cell>
          <cell r="F45">
            <v>276.988</v>
          </cell>
        </row>
        <row r="46">
          <cell r="A46">
            <v>2155984</v>
          </cell>
          <cell r="B46" t="str">
            <v>Furesø tandpleje</v>
          </cell>
          <cell r="C46" t="str">
            <v>ksp6@furesoe.dk</v>
          </cell>
          <cell r="D46" t="str">
            <v>5798008526701</v>
          </cell>
          <cell r="E46">
            <v>5.48</v>
          </cell>
          <cell r="F46">
            <v>10.058</v>
          </cell>
        </row>
        <row r="47">
          <cell r="A47">
            <v>2329044</v>
          </cell>
          <cell r="B47" t="str">
            <v>Furesø Kommunale Tandpleje</v>
          </cell>
          <cell r="C47" t="str">
            <v>mkk1@furesoe.dk</v>
          </cell>
          <cell r="D47" t="str">
            <v>5798008526701</v>
          </cell>
          <cell r="E47">
            <v>4.3840000000000003</v>
          </cell>
          <cell r="F47">
            <v>10.616</v>
          </cell>
        </row>
        <row r="48">
          <cell r="A48">
            <v>2162753</v>
          </cell>
          <cell r="B48" t="str">
            <v>Lille Værløse skole - FFO 2 &amp; 3(Toppen)</v>
          </cell>
          <cell r="C48" t="str">
            <v>yua5@furesoe.dk</v>
          </cell>
          <cell r="D48" t="str">
            <v>5798008526572</v>
          </cell>
          <cell r="E48">
            <v>0.15</v>
          </cell>
          <cell r="F48">
            <v>21.06</v>
          </cell>
        </row>
        <row r="49">
          <cell r="A49">
            <v>1096809</v>
          </cell>
          <cell r="B49" t="str">
            <v>Syvstjerneklubben</v>
          </cell>
          <cell r="C49" t="str">
            <v>syvstjerneklubben@furesoe.dk</v>
          </cell>
          <cell r="D49" t="str">
            <v>5798008526497</v>
          </cell>
          <cell r="E49">
            <v>0</v>
          </cell>
          <cell r="F49">
            <v>13.98</v>
          </cell>
        </row>
        <row r="50">
          <cell r="A50">
            <v>1611791</v>
          </cell>
          <cell r="B50" t="str">
            <v>Røde Sol</v>
          </cell>
          <cell r="C50" t="str">
            <v>lar@furesoe.dk</v>
          </cell>
          <cell r="D50" t="str">
            <v>5798008504365</v>
          </cell>
          <cell r="E50">
            <v>0</v>
          </cell>
          <cell r="F50">
            <v>52.393000000000001</v>
          </cell>
        </row>
        <row r="51">
          <cell r="A51">
            <v>2180848</v>
          </cell>
          <cell r="B51" t="str">
            <v>Lyngholmskolen, Administration (gul dør)</v>
          </cell>
          <cell r="C51" t="str">
            <v>tbl2@furesoe.dk</v>
          </cell>
          <cell r="D51" t="str">
            <v>5798008507274</v>
          </cell>
          <cell r="E51">
            <v>0</v>
          </cell>
          <cell r="F51">
            <v>247.642</v>
          </cell>
        </row>
        <row r="52">
          <cell r="A52">
            <v>2251036</v>
          </cell>
          <cell r="B52" t="str">
            <v>Driftgården - Furesø Kommune</v>
          </cell>
          <cell r="C52" t="str">
            <v>aop@furesoe.dk</v>
          </cell>
          <cell r="D52" t="str">
            <v>5798008526770</v>
          </cell>
          <cell r="E52">
            <v>0</v>
          </cell>
          <cell r="F52">
            <v>43.835999999999999</v>
          </cell>
        </row>
        <row r="53">
          <cell r="A53">
            <v>2312561</v>
          </cell>
          <cell r="B53" t="str">
            <v>lille Værløse skole</v>
          </cell>
          <cell r="C53" t="str">
            <v>ldr1@furesoe.dk</v>
          </cell>
          <cell r="D53" t="str">
            <v>5798008526572</v>
          </cell>
          <cell r="E53">
            <v>0</v>
          </cell>
          <cell r="F53">
            <v>136.87</v>
          </cell>
        </row>
      </sheetData>
      <sheetData sheetId="1" refreshError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arie Merrald" refreshedDate="46041.539110532409" createdVersion="8" refreshedVersion="8" minRefreshableVersion="3" recordCount="111" xr:uid="{32CEEEDF-B13E-4AA6-8D4B-4F6B908B2B42}">
  <cacheSource type="worksheet">
    <worksheetSource ref="A4:K115" sheet="Øko% Alle køkkener"/>
  </cacheSource>
  <cacheFields count="13">
    <cacheField name="Institutionsnavn" numFmtId="164">
      <sharedItems count="138">
        <s v="Anais Kulturcafé, Farum Kulturhus"/>
        <s v="Broen, specialtilbud 0. -9- kl."/>
        <s v="Børnehuset Atlantis (Tidl. Børnehusene, Ryttergårdsvej)"/>
        <s v="Børnehuset Birkedal"/>
        <s v="Børnehuset Birkhøj"/>
        <s v="Børnehuset Birkhøj - møder"/>
        <s v="Børnehuset Bøgely"/>
        <s v="Børnehuset Egetræet"/>
        <s v="Børnehuset Kirke Værløse"/>
        <s v="Børnehuset Lyngholm nr. 15 (vuggest.)"/>
        <s v="Børnehuset Lyngholm nr. 17 (børneh.)"/>
        <s v="Børnehuset Mimers Brønd"/>
        <s v="Børnehuset Nørreskoven"/>
        <s v="Børnehuset Siv"/>
        <s v="Børnehuset Skovbakken"/>
        <s v="Børnehuset Solbjerg"/>
        <s v="Børnehuset Søndersø"/>
        <s v="Børnehuset Vingesus"/>
        <s v="Kulturhuset Galaksen"/>
        <s v="Dagplejen, kaffe (mad fra Mimers Brønd)"/>
        <s v="Dalgårdens Børnehus"/>
        <s v="Dalgårdens Børnehus, møde"/>
        <s v="Driftsgården"/>
        <s v="Egeskolen, kantine"/>
        <s v="Egeskolen, skolens fælles køb "/>
        <s v="Espebo Børnecenter"/>
        <s v="Fars Køkkenskole"/>
        <s v="Farum Lilleskole"/>
        <s v="Farum Nordby Børnehus"/>
        <s v="Farum Vejgaard, BH/VS"/>
        <s v="Farumsødal"/>
        <s v="Fiskebæk Naturskole"/>
        <s v="Fritidshjemmenes Andelsforening á 1986"/>
        <s v="Furesø AdHd"/>
        <s v="Furesø Bibliotek, frugt- og kaffeordning"/>
        <s v="Furesø Museer"/>
        <s v="Furesø Musikskole"/>
        <s v="Furesø Skole- og Familiehus (inkl. Rådgivning, vejledn. og støtte)"/>
        <s v="Furesø Ungdomsskole"/>
        <s v="Furesøgård, fritidsklub"/>
        <s v="Genoptræningscenteret"/>
        <s v="Græshoppen, madpakker"/>
        <s v="Hareskov Børnehus"/>
        <s v="Hareskov Børnehus, personale"/>
        <s v="Hareskov FFO - Gasværket, klub"/>
        <s v="Hareskov FFO Kaffe"/>
        <s v="Hareskov FFO, Læsehuset  "/>
        <s v="Hareskov skole - lærerforplejning"/>
        <s v="Hareskov skole, madkundskab"/>
        <s v="Hareskov Skole, natur"/>
        <s v="Hjemmeplejen+Hjemme-og Sygeplejen"/>
        <s v="Humlehaven, specialbørnehave"/>
        <s v="Kommunal Tandpleje/Tandklinikken Søndersøskolen, Nygårdsterrasserne, Kirke Værløse"/>
        <s v="Krudthuset"/>
        <s v="Lille Værløse Skole, adm. (kaffe)"/>
        <s v="Lille Værløse Skole, Autisme afdelingen"/>
        <s v="Lille Værløse Skole, kantinen"/>
        <s v="Lille Værløse Skole, Madkundskab"/>
        <s v="Lille Værløse Skoles FFO 1 (Miniklub)"/>
        <s v="Lille Værløse Skoles FFO 2 (Toppen)"/>
        <s v="Lille Værløse Skoles FFO 3 (Klub24 )"/>
        <s v="Lillestjernen FFO"/>
        <s v="Lillestjernen FFO, møder"/>
        <s v="Lillevang - Blommehaven"/>
        <s v="Lillevang - Kornelhaven "/>
        <s v="Lillevang - Køkken"/>
        <s v="Lillevang - Magnoliehaven"/>
        <s v="Lillevang - Syrenhaven"/>
        <s v="Lillevang - Rosenhaven"/>
        <s v="Lyngholm FFO"/>
        <s v="Lyngholmskolen, kantinen"/>
        <s v="Lyngholmskolen, lærerforplejning + Gruppeordning(tidl. Furesøskolen)"/>
        <s v="Lyngholmskolen, madkundskab"/>
        <s v="Lynghuset"/>
        <s v="Madhus, Det danske - ekstern opgørelse uden kg, kun øko% oplyses"/>
        <s v="Nordvænget Vuggestue"/>
        <s v="Paletten (Valhalla)"/>
        <s v="Plejecenteret Solbjerghaven"/>
        <s v="Ryet Børnehus"/>
        <s v="Ryetbo"/>
        <s v="Røde Sol (Madpakker og forældrefrugt)"/>
        <s v="Rådhuset Furesø Kommune + frugtordning"/>
        <s v="Skiftesporet/Social Psykiatrien"/>
        <s v="Skolelandbruget"/>
        <s v="Skovgården"/>
        <s v="Solhøjgård, Fritidshjem, selvejende"/>
        <s v="Solstrålen"/>
        <s v="Solvang FFO, Solvognen"/>
        <s v="Solvangskolen, kontor"/>
        <s v="Solvangskolen, skolens fælleskøb"/>
        <s v="Sprogcenter Furesø"/>
        <s v="Stavnsholt Børnehus, integr."/>
        <s v="Stavnsholt FFO (Raketten+Turbodragen) "/>
        <s v="Stavnsholtskolen, kantinen. "/>
        <s v="Stavnsholtskolen, madkundskab og møder"/>
        <s v="Sundhedsplejen, Farum"/>
        <s v="Svanepunktet Plejecenter, Svane"/>
        <s v="Svanepunktet, Bofællesskabet"/>
        <s v="Svanepunktet, Rehab"/>
        <s v="Syvstjerneklubben &amp; kantine"/>
        <s v="Syvstjerneklubben, møder "/>
        <s v="Syvstjerneskolen, madkundskab "/>
        <s v="Syvstjerneskolen, møder og kontor"/>
        <s v="Syvstjernevænge, Bofællesskabet"/>
        <s v="Søndersø FFO 1"/>
        <s v="Søndersø FFO 2, Solbjerggaard"/>
        <s v="Søndersø, Botræningstilbud "/>
        <s v="Søndersøskolen - kontor"/>
        <s v="Søndersøskolen - madkundskab"/>
        <s v="Værløse Svømmehal"/>
        <s v="Åkanden"/>
        <s v="Cassiopeia, Galaksen. Opgøres af Cassiopeia" u="1"/>
        <s v="Solvangskolen, madkundskab" u="1"/>
        <s v="Stavnsholtskolen, kantinen. Har skolehaver" u="1"/>
        <s v="Børnehuset Hjertet" u="1"/>
        <s v="Farum Svømmehal" u="1"/>
        <s v="Stavnsholt Børnehus, integr. (tidl. Majtræet VS, Guldsmeden BH) " u="1"/>
        <s v="Børnehuset Egetræet (tidl. Skovstjernen)" u="1"/>
        <s v="Farum Nordby Børnehus, (tidl. Børnehuset Solsikken)" u="1"/>
        <s v="Lyngholmskolen, kantinen - Midlertidigt lukket e22" u="1"/>
        <s v="Solstrålen, tidl. Kildehuset, forældre/personale " u="1"/>
        <s v="Solstrålen, tidl. Kildehuset" u="1"/>
        <s v="Børnehuset Egetræet, Kollekolle frugt m.v" u="1"/>
        <s v="Børnehuset Egetræet, Skovstj." u="1"/>
        <s v="Farum Svømmehal, Anais Idrætscafé" u="1"/>
        <s v="Grøn Fællesspisning" u="1"/>
        <s v="Lille Værløse Skole, kantinen (Salling 223)" u="1"/>
        <s v="Stavnsholtskolen, madkundskab og møder (Sall. 0237)" u="1"/>
        <s v="Søndersøskolen - kontor (Sall. 2237)" u="1"/>
        <s v="Søndersøskolen - madkundskab (Sall 1720)" u="1"/>
        <s v="Søndersø, Botræningstilbud (Sall. 1680)" u="1"/>
        <s v="Lyngholmskolen, kantinen (Sall. 225) Midlertidigt lukket e22" u="1"/>
        <s v="Hareskov FFO (Sall. 1825) Kaffe" u="1"/>
        <s v="Lyngholm FFO, Afd. Lærkehuset og Bakkehuset " u="1"/>
        <s v="Stavnsholt FFO (Raketten+Turbodragen) (Sall. 0236+1949)" u="1"/>
        <s v="Solstrålen, tidl. Kildehuset, inkl. frugtordning" u="1"/>
        <s v="Lyngholm FFO, Afd. Regnbuen, fritids/ungdomsklub" u="1"/>
        <s v="Lillestjernen FFO, møder (Sall. 2251)" u="1"/>
      </sharedItems>
    </cacheField>
    <cacheField name="Hørkram kundenummer" numFmtId="0">
      <sharedItems containsBlank="1" containsMixedTypes="1" containsNumber="1" containsInteger="1" minValue="200011554" maxValue="200809045"/>
    </cacheField>
    <cacheField name="Nemlig kundenummer 1" numFmtId="0">
      <sharedItems containsString="0" containsBlank="1" containsNumber="1" containsInteger="1" minValue="1004359" maxValue="2407997"/>
    </cacheField>
    <cacheField name="Nemlig kundenummer 2" numFmtId="0">
      <sharedItems containsString="0" containsBlank="1" containsNumber="1" containsInteger="1" minValue="1088515" maxValue="2296585"/>
    </cacheField>
    <cacheField name="Nemlig kundenummer 3" numFmtId="0">
      <sharedItems containsString="0" containsBlank="1" containsNumber="1" containsInteger="1" minValue="2154841" maxValue="2231699"/>
    </cacheField>
    <cacheField name="Nemlig kundenummer 4" numFmtId="0">
      <sharedItems containsString="0" containsBlank="1" containsNumber="1" containsInteger="1" minValue="1380376" maxValue="2329044"/>
    </cacheField>
    <cacheField name="Registreret hos FVST" numFmtId="0">
      <sharedItems containsBlank="1"/>
    </cacheField>
    <cacheField name="Institutionstype" numFmtId="0">
      <sharedItems count="8">
        <s v="Social+Kultur"/>
        <s v="Børneinstitution"/>
        <s v="Møder m.v."/>
        <s v="Skolekantiner"/>
        <s v="FFO+Klub"/>
        <s v="Madkundskab"/>
        <s v="Ældre"/>
        <s v="Rådhus"/>
      </sharedItems>
    </cacheField>
    <cacheField name="Økologi %" numFmtId="165">
      <sharedItems containsMixedTypes="1" containsNumber="1" minValue="0" maxValue="99.565781450150823"/>
    </cacheField>
    <cacheField name="Øko kg" numFmtId="165">
      <sharedItems containsSemiMixedTypes="0" containsString="0" containsNumber="1" minValue="0" maxValue="10388.575999999999"/>
    </cacheField>
    <cacheField name="Omfattet kg" numFmtId="165">
      <sharedItems containsSemiMixedTypes="0" containsString="0" containsNumber="1" minValue="0" maxValue="25431.632000000001"/>
    </cacheField>
    <cacheField name="Økologiprocent" numFmtId="0" formula="#NAME?/#NAME?" databaseField="0"/>
    <cacheField name="Øko%" numFmtId="0" formula="'Øko kg'/'Omfattet kg'" databaseField="0"/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1">
  <r>
    <x v="0"/>
    <m/>
    <m/>
    <m/>
    <m/>
    <m/>
    <s v="Registreret hos FVST"/>
    <x v="0"/>
    <n v="65.673054175538212"/>
    <n v="832.8"/>
    <n v="1268.0999999999999"/>
  </r>
  <r>
    <x v="1"/>
    <m/>
    <m/>
    <m/>
    <m/>
    <m/>
    <s v="Ikke registreret hos FVST"/>
    <x v="0"/>
    <e v="#DIV/0!"/>
    <n v="0"/>
    <n v="0"/>
  </r>
  <r>
    <x v="2"/>
    <n v="200140070"/>
    <m/>
    <m/>
    <m/>
    <m/>
    <s v="Registreret hos FVST"/>
    <x v="1"/>
    <n v="89.272874205830945"/>
    <n v="1294.6869999999999"/>
    <n v="1450.258"/>
  </r>
  <r>
    <x v="3"/>
    <n v="200544489"/>
    <n v="1017028"/>
    <m/>
    <m/>
    <m/>
    <s v="Registreret hos FVST"/>
    <x v="1"/>
    <n v="75.924303093592641"/>
    <n v="913.17499999999995"/>
    <n v="1202.7440000000001"/>
  </r>
  <r>
    <x v="4"/>
    <n v="200012834"/>
    <m/>
    <m/>
    <m/>
    <m/>
    <s v="Registreret hos FVST"/>
    <x v="1"/>
    <n v="83.87924503763432"/>
    <n v="1289.9159999999999"/>
    <n v="1537.825"/>
  </r>
  <r>
    <x v="5"/>
    <n v="200194837"/>
    <n v="2232789"/>
    <m/>
    <m/>
    <m/>
    <s v="Ikke registreret hos FVST"/>
    <x v="2"/>
    <n v="5.5188749880882702"/>
    <n v="4.0540000000000003"/>
    <n v="73.456999999999994"/>
  </r>
  <r>
    <x v="6"/>
    <n v="200809045"/>
    <m/>
    <m/>
    <m/>
    <m/>
    <s v="Registreret hos FVST"/>
    <x v="1"/>
    <n v="99.114650782155564"/>
    <n v="2552.4550000000004"/>
    <n v="2575.2550000000001"/>
  </r>
  <r>
    <x v="7"/>
    <n v="200544472"/>
    <m/>
    <m/>
    <m/>
    <m/>
    <s v="Registreret hos FVST"/>
    <x v="1"/>
    <n v="83.951048863652176"/>
    <n v="2351.0549999999998"/>
    <n v="2800.5070000000001"/>
  </r>
  <r>
    <x v="8"/>
    <n v="200011554"/>
    <m/>
    <m/>
    <m/>
    <m/>
    <s v="Registreret hos FVST"/>
    <x v="1"/>
    <n v="98.978004830428219"/>
    <n v="1533.1010000000001"/>
    <n v="1548.931"/>
  </r>
  <r>
    <x v="9"/>
    <n v="200050751"/>
    <m/>
    <m/>
    <m/>
    <m/>
    <s v="Registreret hos FVST"/>
    <x v="1"/>
    <n v="96.734716526178275"/>
    <n v="383.52800000000002"/>
    <n v="396.47399999999999"/>
  </r>
  <r>
    <x v="10"/>
    <n v="200040875"/>
    <m/>
    <m/>
    <m/>
    <m/>
    <s v="Registreret hos FVST"/>
    <x v="1"/>
    <n v="94.787118732188787"/>
    <n v="1655.403"/>
    <n v="1746.443"/>
  </r>
  <r>
    <x v="11"/>
    <n v="200141541"/>
    <n v="2163076"/>
    <m/>
    <m/>
    <m/>
    <s v="Registreret hos FVST"/>
    <x v="1"/>
    <n v="91.530645122069828"/>
    <n v="1204.5139999999999"/>
    <n v="1315.9680000000001"/>
  </r>
  <r>
    <x v="12"/>
    <n v="200514277"/>
    <n v="1017035"/>
    <m/>
    <m/>
    <m/>
    <s v="Registreret hos FVST"/>
    <x v="1"/>
    <n v="97.639187372986441"/>
    <n v="1503.829"/>
    <n v="1540.19"/>
  </r>
  <r>
    <x v="13"/>
    <m/>
    <n v="1198425"/>
    <m/>
    <m/>
    <m/>
    <s v="Registreret hos FVST"/>
    <x v="1"/>
    <n v="47.188192509516924"/>
    <n v="188.66499999999999"/>
    <n v="399.81400000000002"/>
  </r>
  <r>
    <x v="14"/>
    <n v="200135519"/>
    <m/>
    <m/>
    <m/>
    <m/>
    <s v="Registreret hos FVST"/>
    <x v="1"/>
    <n v="91.445314966179964"/>
    <n v="1057.3520000000001"/>
    <n v="1156.2670000000001"/>
  </r>
  <r>
    <x v="15"/>
    <n v="200025919"/>
    <n v="2163049"/>
    <m/>
    <m/>
    <m/>
    <s v="Registreret hos FVST"/>
    <x v="1"/>
    <n v="94.862372104200659"/>
    <n v="1527.6570000000002"/>
    <n v="1610.393"/>
  </r>
  <r>
    <x v="16"/>
    <n v="200025926"/>
    <m/>
    <m/>
    <m/>
    <m/>
    <s v="Registreret hos FVST"/>
    <x v="1"/>
    <n v="80.796499120612992"/>
    <n v="2733.8359999999998"/>
    <n v="3383.607"/>
  </r>
  <r>
    <x v="17"/>
    <n v="200159577"/>
    <m/>
    <m/>
    <m/>
    <m/>
    <s v="Registreret hos FVST"/>
    <x v="1"/>
    <n v="97.311398601772524"/>
    <n v="3093.8319999999999"/>
    <n v="3179.3110000000001"/>
  </r>
  <r>
    <x v="18"/>
    <n v="200095578"/>
    <n v="2243447"/>
    <m/>
    <m/>
    <m/>
    <s v="Registreret hos FVST"/>
    <x v="0"/>
    <n v="6.7924567814623629"/>
    <n v="12.974"/>
    <n v="191.006"/>
  </r>
  <r>
    <x v="19"/>
    <m/>
    <n v="2251396"/>
    <m/>
    <m/>
    <m/>
    <s v="Registreret hos FVST"/>
    <x v="2"/>
    <s v=" "/>
    <n v="0"/>
    <n v="0"/>
  </r>
  <r>
    <x v="20"/>
    <n v="200034485"/>
    <n v="1017649"/>
    <m/>
    <m/>
    <m/>
    <s v="Registreret hos FVST"/>
    <x v="1"/>
    <n v="97.556325939786987"/>
    <n v="1305.4490000000001"/>
    <n v="1338.1489999999999"/>
  </r>
  <r>
    <x v="21"/>
    <m/>
    <m/>
    <m/>
    <m/>
    <m/>
    <s v="Ikke registreret hos FVST"/>
    <x v="2"/>
    <s v=""/>
    <n v="0"/>
    <n v="0"/>
  </r>
  <r>
    <x v="22"/>
    <m/>
    <n v="2251036"/>
    <m/>
    <m/>
    <m/>
    <s v="Ikke registreret hos FVST"/>
    <x v="2"/>
    <n v="0"/>
    <n v="0"/>
    <n v="130.196"/>
  </r>
  <r>
    <x v="23"/>
    <m/>
    <n v="1192523"/>
    <m/>
    <m/>
    <m/>
    <s v="Registreret hos FVST"/>
    <x v="3"/>
    <n v="9.240701199060398"/>
    <n v="40.637"/>
    <n v="439.76100000000002"/>
  </r>
  <r>
    <x v="24"/>
    <m/>
    <n v="1149830"/>
    <m/>
    <m/>
    <m/>
    <s v="Ikke registreret hos FVST"/>
    <x v="2"/>
    <n v="3.4816221530836264"/>
    <n v="10.34"/>
    <n v="296.988"/>
  </r>
  <r>
    <x v="25"/>
    <n v="200140049"/>
    <n v="2162723"/>
    <m/>
    <m/>
    <m/>
    <s v="Registreret hos FVST"/>
    <x v="1"/>
    <n v="70.044389462960282"/>
    <n v="385.02000000000004"/>
    <n v="549.67999999999995"/>
  </r>
  <r>
    <x v="26"/>
    <n v="200185279"/>
    <m/>
    <m/>
    <m/>
    <m/>
    <s v="Ikke registreret hos FVST"/>
    <x v="0"/>
    <s v=" "/>
    <n v="0"/>
    <n v="0"/>
  </r>
  <r>
    <x v="27"/>
    <m/>
    <n v="2336518"/>
    <m/>
    <m/>
    <m/>
    <s v="Registreret hos FVST"/>
    <x v="4"/>
    <n v="67.589999528700872"/>
    <n v="272.483"/>
    <n v="403.14100000000002"/>
  </r>
  <r>
    <x v="28"/>
    <n v="200012841"/>
    <n v="2248847"/>
    <m/>
    <m/>
    <m/>
    <s v="Registreret hos FVST"/>
    <x v="1"/>
    <n v="78.399609064010534"/>
    <n v="1198.4469999999999"/>
    <n v="1528.6389999999999"/>
  </r>
  <r>
    <x v="29"/>
    <n v="200107653"/>
    <m/>
    <m/>
    <m/>
    <m/>
    <s v="Registreret hos FVST"/>
    <x v="1"/>
    <n v="85.504391794442512"/>
    <n v="604.71100000000001"/>
    <n v="707.22800000000007"/>
  </r>
  <r>
    <x v="30"/>
    <n v="200040189"/>
    <n v="2164133"/>
    <m/>
    <m/>
    <m/>
    <s v="Registreret hos FVST"/>
    <x v="1"/>
    <n v="90.410962656943028"/>
    <n v="2310.1329999999998"/>
    <n v="2555.1469999999999"/>
  </r>
  <r>
    <x v="31"/>
    <m/>
    <m/>
    <m/>
    <m/>
    <m/>
    <s v="Ikke registreret hos FVST"/>
    <x v="0"/>
    <s v=" "/>
    <n v="0"/>
    <n v="0"/>
  </r>
  <r>
    <x v="32"/>
    <m/>
    <n v="2200834"/>
    <m/>
    <m/>
    <m/>
    <s v="Ikke registreret hos FVST"/>
    <x v="4"/>
    <s v=" "/>
    <n v="0"/>
    <n v="0"/>
  </r>
  <r>
    <x v="33"/>
    <m/>
    <m/>
    <m/>
    <m/>
    <m/>
    <s v="Ikke registreret hos FVST"/>
    <x v="0"/>
    <s v=" "/>
    <n v="0"/>
    <n v="0"/>
  </r>
  <r>
    <x v="34"/>
    <m/>
    <n v="2308205"/>
    <m/>
    <m/>
    <m/>
    <s v="Ikke registreret hos FVST"/>
    <x v="0"/>
    <s v=" "/>
    <n v="0"/>
    <n v="0"/>
  </r>
  <r>
    <x v="35"/>
    <m/>
    <m/>
    <m/>
    <m/>
    <m/>
    <s v="Ikke registreret hos FVST"/>
    <x v="0"/>
    <s v=" "/>
    <n v="0"/>
    <n v="0"/>
  </r>
  <r>
    <x v="36"/>
    <m/>
    <n v="2347486"/>
    <m/>
    <m/>
    <m/>
    <s v="Ikke registreret hos FVST"/>
    <x v="0"/>
    <s v=" "/>
    <n v="0"/>
    <n v="0"/>
  </r>
  <r>
    <x v="37"/>
    <m/>
    <n v="1066946"/>
    <m/>
    <m/>
    <m/>
    <s v="Registreret hos FVST"/>
    <x v="0"/>
    <n v="75.018020607094215"/>
    <n v="159.23099999999999"/>
    <n v="212.25700000000001"/>
  </r>
  <r>
    <x v="38"/>
    <m/>
    <n v="2164274"/>
    <m/>
    <m/>
    <m/>
    <s v="Ikke registreret hos FVST"/>
    <x v="4"/>
    <e v="#DIV/0!"/>
    <n v="0"/>
    <n v="0"/>
  </r>
  <r>
    <x v="39"/>
    <m/>
    <n v="1091281"/>
    <m/>
    <m/>
    <m/>
    <s v="Ikke registreret hos FVST"/>
    <x v="4"/>
    <n v="8.8791786788545242"/>
    <n v="146.327"/>
    <n v="1647.979"/>
  </r>
  <r>
    <x v="40"/>
    <n v="200225982"/>
    <m/>
    <m/>
    <m/>
    <m/>
    <s v="Ikke registreret hos FVST"/>
    <x v="2"/>
    <n v="54.814814814814817"/>
    <n v="148"/>
    <n v="270"/>
  </r>
  <r>
    <x v="41"/>
    <m/>
    <m/>
    <m/>
    <m/>
    <m/>
    <s v="Ikke registreret hos FVST"/>
    <x v="1"/>
    <s v=" "/>
    <n v="0"/>
    <n v="0"/>
  </r>
  <r>
    <x v="42"/>
    <n v="200512464"/>
    <m/>
    <m/>
    <m/>
    <m/>
    <s v="Registreret hos FVST"/>
    <x v="1"/>
    <n v="99.120037364567281"/>
    <n v="1610.769"/>
    <n v="1625.069"/>
  </r>
  <r>
    <x v="43"/>
    <m/>
    <n v="2407997"/>
    <m/>
    <m/>
    <m/>
    <s v="Ikke registreret hos FVST"/>
    <x v="2"/>
    <n v="72.800702370500431"/>
    <n v="8.2919999999999998"/>
    <n v="11.39"/>
  </r>
  <r>
    <x v="44"/>
    <s v="to numre; 200106717+200042992"/>
    <n v="1128479"/>
    <m/>
    <m/>
    <m/>
    <s v="Registreret hos FVST"/>
    <x v="4"/>
    <n v="34.791272992371844"/>
    <n v="1099.5419999999999"/>
    <n v="3160.3959999999997"/>
  </r>
  <r>
    <x v="45"/>
    <m/>
    <m/>
    <m/>
    <m/>
    <m/>
    <s v="Ikke registreret hos FVST"/>
    <x v="4"/>
    <n v="0"/>
    <n v="0"/>
    <n v="21.77"/>
  </r>
  <r>
    <x v="46"/>
    <m/>
    <m/>
    <m/>
    <m/>
    <m/>
    <s v="Ikke registreret hos FVST"/>
    <x v="4"/>
    <s v=" "/>
    <n v="0"/>
    <n v="0"/>
  </r>
  <r>
    <x v="47"/>
    <m/>
    <m/>
    <m/>
    <m/>
    <m/>
    <s v="Ikke registreret hos FVST"/>
    <x v="2"/>
    <n v="0"/>
    <n v="0"/>
    <n v="44.8"/>
  </r>
  <r>
    <x v="48"/>
    <m/>
    <n v="1111606"/>
    <n v="1145780"/>
    <m/>
    <m/>
    <s v="Ikke registreret hos FVST"/>
    <x v="5"/>
    <n v="27.302312532563825"/>
    <n v="170.30500000000001"/>
    <n v="623.77499999999998"/>
  </r>
  <r>
    <x v="49"/>
    <m/>
    <m/>
    <m/>
    <m/>
    <m/>
    <s v="Ikke registreret hos FVST"/>
    <x v="0"/>
    <s v=" "/>
    <n v="0"/>
    <n v="0"/>
  </r>
  <r>
    <x v="50"/>
    <m/>
    <n v="2296749"/>
    <n v="2296585"/>
    <m/>
    <m/>
    <s v="Ikke registreret hos FVST"/>
    <x v="2"/>
    <n v="0"/>
    <n v="0"/>
    <n v="89.68"/>
  </r>
  <r>
    <x v="51"/>
    <m/>
    <n v="1613945"/>
    <m/>
    <m/>
    <m/>
    <s v="Registreret hos FVST"/>
    <x v="1"/>
    <n v="70.874092375958043"/>
    <n v="112.446"/>
    <n v="158.65600000000001"/>
  </r>
  <r>
    <x v="52"/>
    <m/>
    <n v="2155984"/>
    <n v="1387175"/>
    <n v="2154841"/>
    <n v="2329044"/>
    <s v="Ikke registreret hos FVST"/>
    <x v="2"/>
    <n v="62.300341773034809"/>
    <n v="17.864000000000001"/>
    <n v="28.673999999999999"/>
  </r>
  <r>
    <x v="53"/>
    <n v="200049625"/>
    <m/>
    <m/>
    <m/>
    <m/>
    <s v="Registreret hos FVST"/>
    <x v="1"/>
    <n v="95.780992921882373"/>
    <n v="1698.1289999999999"/>
    <n v="1772.9290000000001"/>
  </r>
  <r>
    <x v="54"/>
    <m/>
    <n v="2312561"/>
    <m/>
    <m/>
    <m/>
    <s v="Ikke registreret hos FVST"/>
    <x v="2"/>
    <n v="9.3309694877297744"/>
    <n v="20"/>
    <n v="214.34"/>
  </r>
  <r>
    <x v="55"/>
    <m/>
    <n v="2242256"/>
    <m/>
    <m/>
    <m/>
    <s v="Ikke registreret hos FVST"/>
    <x v="0"/>
    <s v=" "/>
    <n v="0"/>
    <n v="0"/>
  </r>
  <r>
    <x v="56"/>
    <n v="200042435"/>
    <m/>
    <m/>
    <m/>
    <m/>
    <s v="Registreret hos FVST"/>
    <x v="3"/>
    <n v="26.050507086588521"/>
    <n v="639.721"/>
    <n v="2455.6950000000002"/>
  </r>
  <r>
    <x v="57"/>
    <m/>
    <n v="2162988"/>
    <m/>
    <m/>
    <m/>
    <s v="Ikke registreret hos FVST"/>
    <x v="5"/>
    <n v="20.892354770248257"/>
    <n v="71.960999999999999"/>
    <n v="344.43700000000001"/>
  </r>
  <r>
    <x v="58"/>
    <n v="200044538"/>
    <m/>
    <m/>
    <m/>
    <m/>
    <s v="Ikke registreret hos FVST"/>
    <x v="4"/>
    <n v="69.880849077929369"/>
    <n v="574.995"/>
    <n v="822.822"/>
  </r>
  <r>
    <x v="59"/>
    <n v="200043647"/>
    <n v="2386462"/>
    <m/>
    <m/>
    <m/>
    <s v="Ikke registreret hos FVST"/>
    <x v="4"/>
    <n v="9.7649282099181107"/>
    <n v="112.387"/>
    <n v="1150.925"/>
  </r>
  <r>
    <x v="60"/>
    <n v="200140674"/>
    <n v="2222649"/>
    <m/>
    <m/>
    <m/>
    <s v="Ikke registreret hos FVST"/>
    <x v="4"/>
    <n v="13.459545417612539"/>
    <n v="81.168999999999997"/>
    <n v="603.05899999999997"/>
  </r>
  <r>
    <x v="61"/>
    <n v="200055084"/>
    <n v="2162953"/>
    <m/>
    <m/>
    <m/>
    <s v="Registreret hos FVST"/>
    <x v="4"/>
    <n v="87.556581851253867"/>
    <n v="419.74099999999999"/>
    <n v="479.39400000000001"/>
  </r>
  <r>
    <x v="62"/>
    <n v="200182711"/>
    <n v="1346990"/>
    <m/>
    <m/>
    <m/>
    <s v="Ikke registreret hos FVST"/>
    <x v="2"/>
    <n v="33.786037373783522"/>
    <n v="29.579000000000001"/>
    <n v="87.548000000000002"/>
  </r>
  <r>
    <x v="63"/>
    <n v="200652832"/>
    <m/>
    <m/>
    <m/>
    <m/>
    <s v="Registreret hos FVST"/>
    <x v="6"/>
    <n v="71.6145222376947"/>
    <n v="1468.2660000000001"/>
    <n v="2050.2350000000001"/>
  </r>
  <r>
    <x v="64"/>
    <n v="200536248"/>
    <m/>
    <m/>
    <m/>
    <m/>
    <s v="Registreret hos FVST"/>
    <x v="6"/>
    <n v="52.103350297304289"/>
    <n v="848.83600000000001"/>
    <n v="1629.1389999999999"/>
  </r>
  <r>
    <x v="65"/>
    <n v="200692968"/>
    <m/>
    <m/>
    <m/>
    <m/>
    <s v="Registreret hos FVST"/>
    <x v="6"/>
    <n v="40.849033990425774"/>
    <n v="10388.575999999999"/>
    <n v="25431.632000000001"/>
  </r>
  <r>
    <x v="66"/>
    <n v="200652849"/>
    <m/>
    <m/>
    <m/>
    <m/>
    <s v="Registreret hos FVST"/>
    <x v="6"/>
    <n v="53.384022274576992"/>
    <n v="907.27"/>
    <n v="1699.5160000000001"/>
  </r>
  <r>
    <x v="67"/>
    <n v="200652900"/>
    <m/>
    <m/>
    <m/>
    <m/>
    <s v="Registreret hos FVST"/>
    <x v="6"/>
    <n v="25.671591979620953"/>
    <n v="364.60899999999998"/>
    <n v="1420.2819999999999"/>
  </r>
  <r>
    <x v="68"/>
    <s v="to numre; 200221267; 200230108"/>
    <m/>
    <m/>
    <m/>
    <m/>
    <m/>
    <x v="6"/>
    <n v="19.135513089465956"/>
    <n v="611.053"/>
    <n v="3193.2929999999997"/>
  </r>
  <r>
    <x v="69"/>
    <m/>
    <n v="2163130"/>
    <n v="1088515"/>
    <m/>
    <m/>
    <s v="Ikke registreret hos FVST"/>
    <x v="4"/>
    <n v="56.585151161115832"/>
    <n v="353.56100000000004"/>
    <n v="624.83000000000004"/>
  </r>
  <r>
    <x v="70"/>
    <n v="200039428"/>
    <m/>
    <m/>
    <m/>
    <m/>
    <s v="Registreret hos FVST"/>
    <x v="3"/>
    <n v="68.828253807010697"/>
    <n v="947.22199999999998"/>
    <n v="1376.211"/>
  </r>
  <r>
    <x v="71"/>
    <s v="To numre; 200159676; 200220246"/>
    <n v="2180848"/>
    <n v="1501208"/>
    <m/>
    <m/>
    <s v="Ikke registreret hos FVST"/>
    <x v="2"/>
    <n v="19.907163054386181"/>
    <n v="141.43899999999999"/>
    <n v="710.49299999999994"/>
  </r>
  <r>
    <x v="72"/>
    <m/>
    <n v="1166810"/>
    <m/>
    <m/>
    <m/>
    <s v="Ikke registreret hos FVST"/>
    <x v="5"/>
    <n v="19.883300065431477"/>
    <n v="48.012999999999998"/>
    <n v="241.47399999999999"/>
  </r>
  <r>
    <x v="73"/>
    <m/>
    <n v="1043650"/>
    <m/>
    <m/>
    <m/>
    <s v="Registreret hos FVST"/>
    <x v="0"/>
    <n v="79.027069504069601"/>
    <n v="762.2879999999999"/>
    <n v="964.59099999999989"/>
  </r>
  <r>
    <x v="74"/>
    <m/>
    <m/>
    <m/>
    <m/>
    <m/>
    <m/>
    <x v="6"/>
    <s v=" "/>
    <n v="0"/>
    <n v="0"/>
  </r>
  <r>
    <x v="75"/>
    <n v="200138510"/>
    <m/>
    <m/>
    <m/>
    <m/>
    <s v="Registreret hos FVST"/>
    <x v="1"/>
    <n v="99.565781450150823"/>
    <n v="1216.43"/>
    <n v="1221.7349999999999"/>
  </r>
  <r>
    <x v="76"/>
    <n v="200041414"/>
    <m/>
    <m/>
    <m/>
    <m/>
    <s v="Registreret hos FVST"/>
    <x v="1"/>
    <n v="89.181762902309117"/>
    <n v="1526.7570000000001"/>
    <n v="1711.961"/>
  </r>
  <r>
    <x v="77"/>
    <m/>
    <n v="2174467"/>
    <n v="2172346"/>
    <n v="2165538"/>
    <m/>
    <s v="Registreret hos FVST"/>
    <x v="6"/>
    <n v="30.729277615684172"/>
    <n v="256.77199999999999"/>
    <n v="835.59400000000005"/>
  </r>
  <r>
    <x v="78"/>
    <n v="200137940"/>
    <m/>
    <m/>
    <m/>
    <m/>
    <s v="Registreret hos FVST"/>
    <x v="1"/>
    <n v="94.167403276431202"/>
    <n v="1392.3789999999999"/>
    <n v="1478.6210000000001"/>
  </r>
  <r>
    <x v="79"/>
    <m/>
    <m/>
    <m/>
    <m/>
    <m/>
    <s v="Ikke registreret hos FVST"/>
    <x v="6"/>
    <s v=" "/>
    <n v="0"/>
    <n v="0"/>
  </r>
  <r>
    <x v="80"/>
    <m/>
    <n v="1611791"/>
    <m/>
    <m/>
    <m/>
    <s v="Ikke registreret hos FVST"/>
    <x v="1"/>
    <n v="0"/>
    <n v="0"/>
    <n v="58.393000000000001"/>
  </r>
  <r>
    <x v="81"/>
    <s v="TO numre; 200079202; 200531038"/>
    <m/>
    <m/>
    <m/>
    <m/>
    <s v="Registreret hos FVST"/>
    <x v="7"/>
    <n v="80.24765884789494"/>
    <n v="9136.5329999999994"/>
    <n v="11385.42"/>
  </r>
  <r>
    <x v="82"/>
    <n v="200031637"/>
    <m/>
    <m/>
    <m/>
    <m/>
    <s v="Ikke registreret hos FVST"/>
    <x v="2"/>
    <n v="9.3991927930382655"/>
    <n v="55.192999999999998"/>
    <n v="587.21"/>
  </r>
  <r>
    <x v="83"/>
    <m/>
    <n v="1383843"/>
    <m/>
    <m/>
    <m/>
    <s v="Ikke registreret hos FVST"/>
    <x v="0"/>
    <n v="56.036532328211081"/>
    <n v="19.327000000000002"/>
    <n v="34.49"/>
  </r>
  <r>
    <x v="84"/>
    <n v="200536200"/>
    <m/>
    <m/>
    <m/>
    <m/>
    <s v="Registreret hos FVST"/>
    <x v="6"/>
    <n v="56.720573870573872"/>
    <n v="929.08299999999997"/>
    <n v="1638"/>
  </r>
  <r>
    <x v="85"/>
    <m/>
    <n v="1365582"/>
    <m/>
    <m/>
    <m/>
    <s v="Ikke registreret hos FVST"/>
    <x v="4"/>
    <s v=" "/>
    <n v="0"/>
    <n v="0"/>
  </r>
  <r>
    <x v="86"/>
    <n v="200021706"/>
    <m/>
    <m/>
    <m/>
    <m/>
    <s v="Registreret hos FVST"/>
    <x v="1"/>
    <n v="91.534960331768247"/>
    <n v="1375.97"/>
    <n v="1503.2180000000001"/>
  </r>
  <r>
    <x v="87"/>
    <m/>
    <n v="2164335"/>
    <n v="2223363"/>
    <m/>
    <m/>
    <m/>
    <x v="4"/>
    <n v="0.43609649938828088"/>
    <n v="1.5469999999999999"/>
    <n v="354.738"/>
  </r>
  <r>
    <x v="88"/>
    <n v="200166322"/>
    <n v="2161308"/>
    <m/>
    <m/>
    <m/>
    <s v="Ikke registreret hos FVST"/>
    <x v="5"/>
    <n v="12.236328244555171"/>
    <n v="59.97"/>
    <n v="490.09800000000001"/>
  </r>
  <r>
    <x v="89"/>
    <m/>
    <n v="2214784"/>
    <m/>
    <m/>
    <m/>
    <s v="Ikke registreret hos FVST"/>
    <x v="2"/>
    <n v="19.737448283573748"/>
    <n v="44.128"/>
    <n v="223.57499999999999"/>
  </r>
  <r>
    <x v="90"/>
    <m/>
    <n v="1613144"/>
    <m/>
    <m/>
    <m/>
    <s v="Ikke registreret hos FVST"/>
    <x v="2"/>
    <n v="38.308646065022955"/>
    <n v="8.0950000000000006"/>
    <n v="21.131"/>
  </r>
  <r>
    <x v="91"/>
    <n v="200012124"/>
    <n v="1232086"/>
    <m/>
    <m/>
    <m/>
    <s v="Registreret hos FVST"/>
    <x v="1"/>
    <n v="94.553228541717829"/>
    <n v="2571.4279999999999"/>
    <n v="2719.556"/>
  </r>
  <r>
    <x v="92"/>
    <m/>
    <n v="1136302"/>
    <m/>
    <m/>
    <m/>
    <m/>
    <x v="4"/>
    <n v="29.812468721617762"/>
    <n v="128.673"/>
    <n v="431.608"/>
  </r>
  <r>
    <x v="93"/>
    <n v="200031620"/>
    <n v="2361189"/>
    <m/>
    <m/>
    <m/>
    <s v="Registreret hos FVST"/>
    <x v="3"/>
    <n v="81.662001167755051"/>
    <n v="788.81899999999996"/>
    <n v="965.95600000000002"/>
  </r>
  <r>
    <x v="94"/>
    <m/>
    <n v="1098703"/>
    <m/>
    <m/>
    <m/>
    <s v="Ikke registreret hos FVST"/>
    <x v="5"/>
    <n v="23.038835713968631"/>
    <n v="134.93799999999999"/>
    <n v="585.69799999999998"/>
  </r>
  <r>
    <x v="95"/>
    <m/>
    <n v="1174958"/>
    <m/>
    <m/>
    <m/>
    <s v="Ikke registreret hos FVST"/>
    <x v="0"/>
    <s v=" "/>
    <n v="0"/>
    <n v="0"/>
  </r>
  <r>
    <x v="96"/>
    <n v="200031514"/>
    <m/>
    <m/>
    <m/>
    <m/>
    <s v="Registreret hos FVST"/>
    <x v="6"/>
    <n v="53.878509643443159"/>
    <n v="1332.1510000000001"/>
    <n v="2472.509"/>
  </r>
  <r>
    <x v="97"/>
    <m/>
    <n v="1218014"/>
    <m/>
    <m/>
    <m/>
    <s v="Ikke registreret hos FVST"/>
    <x v="0"/>
    <n v="13.423935818442541"/>
    <n v="328.02300000000002"/>
    <n v="2443.5680000000002"/>
  </r>
  <r>
    <x v="98"/>
    <n v="200536224"/>
    <m/>
    <m/>
    <m/>
    <m/>
    <s v="Registreret hos FVST"/>
    <x v="6"/>
    <n v="62.083956415168188"/>
    <n v="1507.057"/>
    <n v="2427.4499999999998"/>
  </r>
  <r>
    <x v="99"/>
    <n v="200525099"/>
    <m/>
    <m/>
    <m/>
    <m/>
    <s v="Registreret hos FVST"/>
    <x v="4"/>
    <n v="55.962572312962493"/>
    <n v="845.57600000000002"/>
    <n v="1510.9670000000001"/>
  </r>
  <r>
    <x v="100"/>
    <m/>
    <n v="1096809"/>
    <m/>
    <m/>
    <m/>
    <s v="Ikke registreret hos FVST"/>
    <x v="2"/>
    <n v="61.387354205033759"/>
    <n v="24"/>
    <n v="39.096000000000004"/>
  </r>
  <r>
    <x v="101"/>
    <m/>
    <n v="1216525"/>
    <m/>
    <m/>
    <m/>
    <s v="Ikke registreret hos FVST"/>
    <x v="5"/>
    <n v="16.646484461251326"/>
    <n v="71.620999999999995"/>
    <n v="430.24700000000001"/>
  </r>
  <r>
    <x v="102"/>
    <m/>
    <n v="1199339"/>
    <n v="1573820"/>
    <m/>
    <m/>
    <s v="Ikke registreret hos FVST"/>
    <x v="2"/>
    <n v="3.7070830535805488"/>
    <n v="6.46"/>
    <n v="174.261"/>
  </r>
  <r>
    <x v="103"/>
    <m/>
    <n v="1839601"/>
    <m/>
    <m/>
    <m/>
    <s v="Ikke registreret hos FVST"/>
    <x v="0"/>
    <n v="24.712022398374067"/>
    <n v="118.185"/>
    <n v="478.24900000000002"/>
  </r>
  <r>
    <x v="104"/>
    <m/>
    <n v="1123703"/>
    <m/>
    <m/>
    <m/>
    <s v="Registreret hos FVST"/>
    <x v="4"/>
    <n v="9.1252558446104697"/>
    <n v="28.934999999999999"/>
    <n v="317.08699999999999"/>
  </r>
  <r>
    <x v="105"/>
    <n v="200033969"/>
    <n v="2167011"/>
    <m/>
    <m/>
    <m/>
    <s v="Registreret hos FVST"/>
    <x v="4"/>
    <n v="12.897674649619745"/>
    <n v="176.58"/>
    <n v="1369.0840000000001"/>
  </r>
  <r>
    <x v="106"/>
    <m/>
    <n v="2144619"/>
    <m/>
    <m/>
    <m/>
    <s v="Ikke registreret hos FVST"/>
    <x v="0"/>
    <n v="46.678026914793143"/>
    <n v="467.04399999999998"/>
    <n v="1000.5650000000001"/>
  </r>
  <r>
    <x v="107"/>
    <m/>
    <m/>
    <m/>
    <m/>
    <m/>
    <s v="Ikke registreret hos FVST"/>
    <x v="2"/>
    <n v="0"/>
    <n v="0"/>
    <n v="125.2"/>
  </r>
  <r>
    <x v="108"/>
    <m/>
    <n v="1004359"/>
    <n v="2230005"/>
    <n v="2231699"/>
    <n v="1380376"/>
    <s v="Ikke registreret hos FVST"/>
    <x v="5"/>
    <n v="25.328874937911891"/>
    <n v="98.927999999999997"/>
    <n v="390.57400000000001"/>
  </r>
  <r>
    <x v="109"/>
    <n v="200023854"/>
    <m/>
    <m/>
    <m/>
    <m/>
    <s v="Registreret hos FVST"/>
    <x v="0"/>
    <n v="24.207788215556633"/>
    <n v="557.54700000000003"/>
    <n v="2303.172"/>
  </r>
  <r>
    <x v="110"/>
    <n v="200541495"/>
    <m/>
    <m/>
    <m/>
    <m/>
    <s v="Registreret hos FVST"/>
    <x v="1"/>
    <n v="95.211594032993602"/>
    <n v="1689.2660000000001"/>
    <n v="1774.22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59D16C0-C212-439C-857A-57BA081B22F3}" name="Pivottabel1" cacheId="34" applyNumberFormats="0" applyBorderFormats="0" applyFontFormats="0" applyPatternFormats="0" applyAlignmentFormats="0" applyWidthHeightFormats="1" dataCaption="Værdier" updatedVersion="8" minRefreshableVersion="3" useAutoFormatting="1" itemPrintTitles="1" createdVersion="8" indent="0" outline="1" outlineData="1" multipleFieldFilters="0">
  <location ref="A2:D122" firstHeaderRow="0" firstDataRow="1" firstDataCol="1"/>
  <pivotFields count="13">
    <pivotField axis="axisRow" showAll="0">
      <items count="139">
        <item x="0"/>
        <item x="2"/>
        <item x="3"/>
        <item x="4"/>
        <item x="6"/>
        <item m="1" x="122"/>
        <item m="1" x="123"/>
        <item m="1" x="114"/>
        <item x="8"/>
        <item x="9"/>
        <item x="10"/>
        <item x="11"/>
        <item x="12"/>
        <item x="14"/>
        <item x="15"/>
        <item x="16"/>
        <item x="17"/>
        <item m="1" x="111"/>
        <item x="19"/>
        <item x="20"/>
        <item x="23"/>
        <item m="1" x="118"/>
        <item m="1" x="124"/>
        <item x="29"/>
        <item x="30"/>
        <item x="37"/>
        <item x="42"/>
        <item x="44"/>
        <item x="51"/>
        <item x="53"/>
        <item m="1" x="126"/>
        <item x="61"/>
        <item x="63"/>
        <item x="64"/>
        <item x="65"/>
        <item x="66"/>
        <item x="67"/>
        <item m="1" x="131"/>
        <item x="73"/>
        <item x="75"/>
        <item x="76"/>
        <item x="77"/>
        <item x="78"/>
        <item x="81"/>
        <item x="84"/>
        <item m="1" x="135"/>
        <item m="1" x="116"/>
        <item m="1" x="113"/>
        <item x="96"/>
        <item x="98"/>
        <item x="99"/>
        <item x="105"/>
        <item x="109"/>
        <item x="110"/>
        <item x="1"/>
        <item x="21"/>
        <item x="22"/>
        <item x="24"/>
        <item x="25"/>
        <item x="26"/>
        <item x="31"/>
        <item x="32"/>
        <item x="33"/>
        <item x="34"/>
        <item x="35"/>
        <item x="36"/>
        <item x="38"/>
        <item x="39"/>
        <item x="40"/>
        <item x="41"/>
        <item m="1" x="125"/>
        <item x="43"/>
        <item m="1" x="132"/>
        <item x="46"/>
        <item x="47"/>
        <item x="48"/>
        <item x="49"/>
        <item x="50"/>
        <item x="52"/>
        <item x="54"/>
        <item x="55"/>
        <item x="57"/>
        <item x="58"/>
        <item x="59"/>
        <item x="60"/>
        <item m="1" x="137"/>
        <item m="1" x="133"/>
        <item m="1" x="136"/>
        <item x="71"/>
        <item x="72"/>
        <item x="74"/>
        <item x="79"/>
        <item x="80"/>
        <item x="82"/>
        <item x="83"/>
        <item x="85"/>
        <item m="1" x="120"/>
        <item x="87"/>
        <item m="1" x="112"/>
        <item x="89"/>
        <item x="90"/>
        <item m="1" x="134"/>
        <item m="1" x="127"/>
        <item x="95"/>
        <item x="97"/>
        <item x="100"/>
        <item x="101"/>
        <item x="102"/>
        <item x="104"/>
        <item m="1" x="130"/>
        <item m="1" x="128"/>
        <item m="1" x="129"/>
        <item x="5"/>
        <item x="45"/>
        <item x="62"/>
        <item x="69"/>
        <item m="1" x="119"/>
        <item m="1" x="121"/>
        <item x="92"/>
        <item x="103"/>
        <item x="106"/>
        <item m="1" x="117"/>
        <item m="1" x="115"/>
        <item x="56"/>
        <item x="94"/>
        <item x="107"/>
        <item x="108"/>
        <item x="28"/>
        <item x="70"/>
        <item x="86"/>
        <item x="7"/>
        <item x="13"/>
        <item x="91"/>
        <item x="68"/>
        <item x="93"/>
        <item x="18"/>
        <item x="27"/>
        <item x="88"/>
        <item t="default"/>
      </items>
    </pivotField>
    <pivotField showAll="0"/>
    <pivotField showAll="0"/>
    <pivotField showAll="0"/>
    <pivotField showAll="0"/>
    <pivotField showAll="0"/>
    <pivotField showAll="0"/>
    <pivotField axis="axisRow" showAll="0">
      <items count="9">
        <item x="1"/>
        <item x="4"/>
        <item x="2"/>
        <item x="7"/>
        <item x="3"/>
        <item x="0"/>
        <item x="6"/>
        <item x="5"/>
        <item t="default"/>
      </items>
    </pivotField>
    <pivotField showAll="0"/>
    <pivotField dataField="1" numFmtId="165" showAll="0"/>
    <pivotField dataField="1" numFmtId="165" showAll="0"/>
    <pivotField dragToRow="0" dragToCol="0" dragToPage="0" showAll="0" defaultSubtotal="0"/>
    <pivotField dataField="1" dragToRow="0" dragToCol="0" dragToPage="0" showAll="0" defaultSubtotal="0"/>
  </pivotFields>
  <rowFields count="2">
    <field x="7"/>
    <field x="0"/>
  </rowFields>
  <rowItems count="120">
    <i>
      <x/>
    </i>
    <i r="1">
      <x v="1"/>
    </i>
    <i r="1">
      <x v="2"/>
    </i>
    <i r="1">
      <x v="3"/>
    </i>
    <i r="1">
      <x v="4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9"/>
    </i>
    <i r="1">
      <x v="23"/>
    </i>
    <i r="1">
      <x v="24"/>
    </i>
    <i r="1">
      <x v="26"/>
    </i>
    <i r="1">
      <x v="28"/>
    </i>
    <i r="1">
      <x v="29"/>
    </i>
    <i r="1">
      <x v="39"/>
    </i>
    <i r="1">
      <x v="40"/>
    </i>
    <i r="1">
      <x v="42"/>
    </i>
    <i r="1">
      <x v="53"/>
    </i>
    <i r="1">
      <x v="58"/>
    </i>
    <i r="1">
      <x v="69"/>
    </i>
    <i r="1">
      <x v="92"/>
    </i>
    <i r="1">
      <x v="127"/>
    </i>
    <i r="1">
      <x v="129"/>
    </i>
    <i r="1">
      <x v="130"/>
    </i>
    <i r="1">
      <x v="131"/>
    </i>
    <i r="1">
      <x v="132"/>
    </i>
    <i>
      <x v="1"/>
    </i>
    <i r="1">
      <x v="27"/>
    </i>
    <i r="1">
      <x v="31"/>
    </i>
    <i r="1">
      <x v="50"/>
    </i>
    <i r="1">
      <x v="51"/>
    </i>
    <i r="1">
      <x v="61"/>
    </i>
    <i r="1">
      <x v="66"/>
    </i>
    <i r="1">
      <x v="67"/>
    </i>
    <i r="1">
      <x v="73"/>
    </i>
    <i r="1">
      <x v="82"/>
    </i>
    <i r="1">
      <x v="83"/>
    </i>
    <i r="1">
      <x v="84"/>
    </i>
    <i r="1">
      <x v="95"/>
    </i>
    <i r="1">
      <x v="97"/>
    </i>
    <i r="1">
      <x v="108"/>
    </i>
    <i r="1">
      <x v="113"/>
    </i>
    <i r="1">
      <x v="115"/>
    </i>
    <i r="1">
      <x v="118"/>
    </i>
    <i r="1">
      <x v="136"/>
    </i>
    <i>
      <x v="2"/>
    </i>
    <i r="1">
      <x v="18"/>
    </i>
    <i r="1">
      <x v="55"/>
    </i>
    <i r="1">
      <x v="56"/>
    </i>
    <i r="1">
      <x v="57"/>
    </i>
    <i r="1">
      <x v="68"/>
    </i>
    <i r="1">
      <x v="71"/>
    </i>
    <i r="1">
      <x v="74"/>
    </i>
    <i r="1">
      <x v="77"/>
    </i>
    <i r="1">
      <x v="78"/>
    </i>
    <i r="1">
      <x v="79"/>
    </i>
    <i r="1">
      <x v="88"/>
    </i>
    <i r="1">
      <x v="93"/>
    </i>
    <i r="1">
      <x v="99"/>
    </i>
    <i r="1">
      <x v="100"/>
    </i>
    <i r="1">
      <x v="105"/>
    </i>
    <i r="1">
      <x v="107"/>
    </i>
    <i r="1">
      <x v="112"/>
    </i>
    <i r="1">
      <x v="114"/>
    </i>
    <i r="1">
      <x v="125"/>
    </i>
    <i>
      <x v="3"/>
    </i>
    <i r="1">
      <x v="43"/>
    </i>
    <i>
      <x v="4"/>
    </i>
    <i r="1">
      <x v="20"/>
    </i>
    <i r="1">
      <x v="123"/>
    </i>
    <i r="1">
      <x v="128"/>
    </i>
    <i r="1">
      <x v="134"/>
    </i>
    <i>
      <x v="5"/>
    </i>
    <i r="1">
      <x/>
    </i>
    <i r="1">
      <x v="25"/>
    </i>
    <i r="1">
      <x v="38"/>
    </i>
    <i r="1">
      <x v="52"/>
    </i>
    <i r="1">
      <x v="54"/>
    </i>
    <i r="1">
      <x v="59"/>
    </i>
    <i r="1">
      <x v="60"/>
    </i>
    <i r="1">
      <x v="62"/>
    </i>
    <i r="1">
      <x v="63"/>
    </i>
    <i r="1">
      <x v="64"/>
    </i>
    <i r="1">
      <x v="65"/>
    </i>
    <i r="1">
      <x v="76"/>
    </i>
    <i r="1">
      <x v="80"/>
    </i>
    <i r="1">
      <x v="94"/>
    </i>
    <i r="1">
      <x v="103"/>
    </i>
    <i r="1">
      <x v="104"/>
    </i>
    <i r="1">
      <x v="119"/>
    </i>
    <i r="1">
      <x v="120"/>
    </i>
    <i r="1">
      <x v="135"/>
    </i>
    <i>
      <x v="6"/>
    </i>
    <i r="1">
      <x v="32"/>
    </i>
    <i r="1">
      <x v="33"/>
    </i>
    <i r="1">
      <x v="34"/>
    </i>
    <i r="1">
      <x v="35"/>
    </i>
    <i r="1">
      <x v="36"/>
    </i>
    <i r="1">
      <x v="41"/>
    </i>
    <i r="1">
      <x v="44"/>
    </i>
    <i r="1">
      <x v="48"/>
    </i>
    <i r="1">
      <x v="49"/>
    </i>
    <i r="1">
      <x v="90"/>
    </i>
    <i r="1">
      <x v="91"/>
    </i>
    <i r="1">
      <x v="133"/>
    </i>
    <i>
      <x v="7"/>
    </i>
    <i r="1">
      <x v="75"/>
    </i>
    <i r="1">
      <x v="81"/>
    </i>
    <i r="1">
      <x v="89"/>
    </i>
    <i r="1">
      <x v="106"/>
    </i>
    <i r="1">
      <x v="124"/>
    </i>
    <i r="1">
      <x v="126"/>
    </i>
    <i r="1">
      <x v="137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af Øko kg" fld="9" baseField="0" baseItem="6" numFmtId="3"/>
    <dataField name="Sum af Omfattet kg" fld="10" baseField="0" baseItem="6" numFmtId="3"/>
    <dataField name="Sum af Øko%" fld="12" baseField="0" baseItem="6" numFmtId="9"/>
  </dataFields>
  <pivotTableStyleInfo name="PivotStyleLight15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5FD126-F881-484A-9E58-402A860B3A47}">
  <dimension ref="A1:K57"/>
  <sheetViews>
    <sheetView zoomScale="78" workbookViewId="0">
      <pane ySplit="3" topLeftCell="A36" activePane="bottomLeft" state="frozen"/>
      <selection pane="bottomLeft" activeCell="F1" sqref="F1:U1048576"/>
    </sheetView>
  </sheetViews>
  <sheetFormatPr defaultRowHeight="14.5" x14ac:dyDescent="0.35"/>
  <cols>
    <col min="1" max="1" width="51.7265625" customWidth="1"/>
    <col min="2" max="2" width="12.26953125" customWidth="1"/>
    <col min="3" max="3" width="8.7265625" customWidth="1"/>
  </cols>
  <sheetData>
    <row r="1" spans="1:5" ht="21" x14ac:dyDescent="0.5">
      <c r="A1" s="9" t="s">
        <v>41</v>
      </c>
      <c r="B1" s="9"/>
    </row>
    <row r="2" spans="1:5" x14ac:dyDescent="0.35">
      <c r="A2" s="1"/>
      <c r="B2" s="1"/>
      <c r="C2" s="6" t="s">
        <v>40</v>
      </c>
      <c r="D2" s="6" t="s">
        <v>39</v>
      </c>
      <c r="E2" s="6" t="s">
        <v>38</v>
      </c>
    </row>
    <row r="3" spans="1:5" x14ac:dyDescent="0.35">
      <c r="A3" s="1"/>
      <c r="B3" s="6" t="str">
        <f>+'Øko% Alle køkkener'!A1</f>
        <v>4. kvartal 25</v>
      </c>
      <c r="C3" s="6" t="s">
        <v>42</v>
      </c>
      <c r="D3" s="6" t="s">
        <v>43</v>
      </c>
      <c r="E3" s="6" t="s">
        <v>44</v>
      </c>
    </row>
    <row r="4" spans="1:5" x14ac:dyDescent="0.35">
      <c r="A4" s="6" t="str">
        <f>'Øko% Alle køkkener'!A3</f>
        <v>Institutionsnavn</v>
      </c>
      <c r="B4" s="6"/>
      <c r="C4" s="6"/>
      <c r="D4" s="1"/>
      <c r="E4" s="6"/>
    </row>
    <row r="5" spans="1:5" x14ac:dyDescent="0.35">
      <c r="A5" s="1" t="str">
        <f>'Øko% kommunale køkk. m. smiley'!A5</f>
        <v>Anais Kulturcafé, Farum Kulturhus</v>
      </c>
      <c r="B5" s="16">
        <f>+VLOOKUP(A5,'Øko% Alle køkkener'!$A$5:$I$115,9,FALSE)</f>
        <v>65.673054175538212</v>
      </c>
      <c r="C5" s="1">
        <v>1</v>
      </c>
      <c r="D5" s="1"/>
      <c r="E5" s="1"/>
    </row>
    <row r="6" spans="1:5" x14ac:dyDescent="0.35">
      <c r="A6" s="1" t="str">
        <f>'Øko% kommunale køkk. m. smiley'!A6</f>
        <v>Børnehuset Atlantis (Tidl. Børnehusene, Ryttergårdsvej)</v>
      </c>
      <c r="B6" s="16">
        <f>+VLOOKUP(A6,'Øko% Alle køkkener'!$A$5:$I$115,9,FALSE)</f>
        <v>89.272874205830945</v>
      </c>
      <c r="C6" s="1"/>
      <c r="D6" s="1">
        <v>1</v>
      </c>
      <c r="E6" s="1"/>
    </row>
    <row r="7" spans="1:5" x14ac:dyDescent="0.35">
      <c r="A7" s="1" t="str">
        <f>'Øko% kommunale køkk. m. smiley'!A7</f>
        <v>Børnehuset Birkedal</v>
      </c>
      <c r="B7" s="16">
        <f>+VLOOKUP(A7,'Øko% Alle køkkener'!$A$5:$I$115,9,FALSE)</f>
        <v>75.924303093592641</v>
      </c>
      <c r="C7" s="1"/>
      <c r="D7" s="1">
        <v>1</v>
      </c>
      <c r="E7" s="1"/>
    </row>
    <row r="8" spans="1:5" x14ac:dyDescent="0.35">
      <c r="A8" s="1" t="str">
        <f>'Øko% kommunale køkk. m. smiley'!A8</f>
        <v>Børnehuset Birkhøj</v>
      </c>
      <c r="B8" s="16">
        <f>+VLOOKUP(A8,'Øko% Alle køkkener'!$A$5:$I$115,9,FALSE)</f>
        <v>83.87924503763432</v>
      </c>
      <c r="C8" s="1"/>
      <c r="D8" s="1">
        <v>1</v>
      </c>
      <c r="E8" s="1"/>
    </row>
    <row r="9" spans="1:5" x14ac:dyDescent="0.35">
      <c r="A9" s="1" t="str">
        <f>'Øko% kommunale køkk. m. smiley'!A9</f>
        <v>Børnehuset Bøgely</v>
      </c>
      <c r="B9" s="16">
        <f>+VLOOKUP(A9,'Øko% Alle køkkener'!$A$5:$I$115,9,FALSE)</f>
        <v>99.114650782155564</v>
      </c>
      <c r="C9" s="1"/>
      <c r="D9" s="1"/>
      <c r="E9" s="1">
        <v>1</v>
      </c>
    </row>
    <row r="10" spans="1:5" x14ac:dyDescent="0.35">
      <c r="A10" s="1" t="str">
        <f>'Øko% kommunale køkk. m. smiley'!A10</f>
        <v>Børnehuset Egetræet</v>
      </c>
      <c r="B10" s="16">
        <f>+VLOOKUP(A10,'Øko% Alle køkkener'!$A$5:$I$115,9,FALSE)</f>
        <v>83.951048863652176</v>
      </c>
      <c r="C10" s="1"/>
      <c r="D10" s="1">
        <v>1</v>
      </c>
      <c r="E10" s="103"/>
    </row>
    <row r="11" spans="1:5" x14ac:dyDescent="0.35">
      <c r="A11" s="1" t="str">
        <f>'Øko% kommunale køkk. m. smiley'!A11</f>
        <v>Børnehuset Kirke Værløse</v>
      </c>
      <c r="B11" s="16">
        <f>+VLOOKUP(A11,'Øko% Alle køkkener'!$A$5:$I$115,9,FALSE)</f>
        <v>98.978004830428219</v>
      </c>
      <c r="C11" s="1"/>
      <c r="D11" s="1"/>
      <c r="E11" s="1">
        <v>1</v>
      </c>
    </row>
    <row r="12" spans="1:5" x14ac:dyDescent="0.35">
      <c r="A12" s="1" t="str">
        <f>'Øko% kommunale køkk. m. smiley'!A12</f>
        <v>Børnehuset Lyngholm nr. 15 (vuggest.)</v>
      </c>
      <c r="B12" s="16">
        <f>+VLOOKUP(A12,'Øko% Alle køkkener'!$A$5:$I$115,9,FALSE)</f>
        <v>96.734716526178275</v>
      </c>
      <c r="C12" s="1"/>
      <c r="D12" s="1"/>
      <c r="E12" s="1">
        <v>1</v>
      </c>
    </row>
    <row r="13" spans="1:5" x14ac:dyDescent="0.35">
      <c r="A13" s="1" t="str">
        <f>'Øko% kommunale køkk. m. smiley'!A13</f>
        <v>Børnehuset Lyngholm nr. 17 (børneh.)</v>
      </c>
      <c r="B13" s="16">
        <f>+VLOOKUP(A13,'Øko% Alle køkkener'!$A$5:$I$115,9,FALSE)</f>
        <v>94.787118732188787</v>
      </c>
      <c r="C13" s="1"/>
      <c r="D13" s="1"/>
      <c r="E13" s="104">
        <v>1</v>
      </c>
    </row>
    <row r="14" spans="1:5" x14ac:dyDescent="0.35">
      <c r="A14" s="1" t="str">
        <f>'Øko% kommunale køkk. m. smiley'!A14</f>
        <v>Børnehuset Mimers Brønd</v>
      </c>
      <c r="B14" s="16">
        <f>+VLOOKUP(A14,'Øko% Alle køkkener'!$A$5:$I$115,9,FALSE)</f>
        <v>91.530645122069828</v>
      </c>
      <c r="C14" s="1"/>
      <c r="D14" s="1">
        <v>1</v>
      </c>
      <c r="E14" s="1"/>
    </row>
    <row r="15" spans="1:5" x14ac:dyDescent="0.35">
      <c r="A15" s="1" t="str">
        <f>'Øko% kommunale køkk. m. smiley'!A15</f>
        <v>Børnehuset Nørreskoven</v>
      </c>
      <c r="B15" s="16">
        <f>+VLOOKUP(A15,'Øko% Alle køkkener'!$A$5:$I$115,9,FALSE)</f>
        <v>97.639187372986441</v>
      </c>
      <c r="C15" s="1"/>
      <c r="D15" s="1"/>
      <c r="E15" s="1">
        <v>1</v>
      </c>
    </row>
    <row r="16" spans="1:5" x14ac:dyDescent="0.35">
      <c r="A16" s="1" t="str">
        <f>'Øko% kommunale køkk. m. smiley'!A16</f>
        <v>Børnehuset Siv</v>
      </c>
      <c r="B16" s="16">
        <f>+VLOOKUP(A16,'Øko% Alle køkkener'!$A$5:$I$115,9,FALSE)</f>
        <v>47.188192509516924</v>
      </c>
      <c r="C16" s="1"/>
      <c r="D16" s="1"/>
      <c r="E16" s="1"/>
    </row>
    <row r="17" spans="1:5" x14ac:dyDescent="0.35">
      <c r="A17" s="1" t="str">
        <f>'Øko% kommunale køkk. m. smiley'!A17</f>
        <v>Børnehuset Skovbakken</v>
      </c>
      <c r="B17" s="16">
        <f>+VLOOKUP(A17,'Øko% Alle køkkener'!$A$5:$I$115,9,FALSE)</f>
        <v>91.445314966179964</v>
      </c>
      <c r="C17" s="1"/>
      <c r="D17" s="1">
        <v>1</v>
      </c>
      <c r="E17" s="1"/>
    </row>
    <row r="18" spans="1:5" x14ac:dyDescent="0.35">
      <c r="A18" s="1" t="str">
        <f>'Øko% kommunale køkk. m. smiley'!A18</f>
        <v>Børnehuset Solbjerg</v>
      </c>
      <c r="B18" s="16">
        <f>+VLOOKUP(A18,'Øko% Alle køkkener'!$A$5:$I$115,9,FALSE)</f>
        <v>94.862372104200659</v>
      </c>
      <c r="C18" s="1"/>
      <c r="D18" s="1"/>
      <c r="E18" s="1">
        <v>1</v>
      </c>
    </row>
    <row r="19" spans="1:5" x14ac:dyDescent="0.35">
      <c r="A19" s="1" t="str">
        <f>'Øko% kommunale køkk. m. smiley'!A19</f>
        <v>Børnehuset Søndersø</v>
      </c>
      <c r="B19" s="16">
        <f>+VLOOKUP(A19,'Øko% Alle køkkener'!$A$5:$I$115,9,FALSE)</f>
        <v>80.796499120612992</v>
      </c>
      <c r="C19" s="1"/>
      <c r="D19" s="1">
        <v>1</v>
      </c>
      <c r="E19" s="1"/>
    </row>
    <row r="20" spans="1:5" x14ac:dyDescent="0.35">
      <c r="A20" s="1" t="str">
        <f>'Øko% kommunale køkk. m. smiley'!A20</f>
        <v>Børnehuset Vingesus</v>
      </c>
      <c r="B20" s="16">
        <f>+VLOOKUP(A20,'Øko% Alle køkkener'!$A$5:$I$115,9,FALSE)</f>
        <v>97.311398601772524</v>
      </c>
      <c r="C20" s="1"/>
      <c r="D20" s="1"/>
      <c r="E20" s="1">
        <v>1</v>
      </c>
    </row>
    <row r="21" spans="1:5" x14ac:dyDescent="0.35">
      <c r="A21" s="1" t="str">
        <f>'Øko% kommunale køkk. m. smiley'!A22</f>
        <v>Dalgårdens Børnehus</v>
      </c>
      <c r="B21" s="16">
        <f>+VLOOKUP(A21,'Øko% Alle køkkener'!$A$5:$I$115,9,FALSE)</f>
        <v>97.556325939786987</v>
      </c>
      <c r="C21" s="1"/>
      <c r="D21" s="1"/>
      <c r="E21" s="1">
        <v>1</v>
      </c>
    </row>
    <row r="22" spans="1:5" hidden="1" x14ac:dyDescent="0.35">
      <c r="A22" s="1" t="str">
        <f>'Øko% kommunale køkk. m. smiley'!A23</f>
        <v>Egeskolen, kantine</v>
      </c>
      <c r="B22" s="16">
        <f>+VLOOKUP(A22,'Øko% Alle køkkener'!$A$5:$I$115,9,FALSE)</f>
        <v>9.240701199060398</v>
      </c>
      <c r="C22" s="105"/>
      <c r="D22" s="1"/>
      <c r="E22" s="1"/>
    </row>
    <row r="23" spans="1:5" x14ac:dyDescent="0.35">
      <c r="A23" s="1" t="str">
        <f>'Øko% Alle køkkener'!A30</f>
        <v>Espebo Børnecenter</v>
      </c>
      <c r="B23" s="16">
        <f>+VLOOKUP(A23,'Øko% Alle køkkener'!$A$5:$I$115,9,FALSE)</f>
        <v>70.044389462960282</v>
      </c>
      <c r="C23" s="105"/>
      <c r="D23" s="1">
        <v>1</v>
      </c>
      <c r="E23" s="1"/>
    </row>
    <row r="24" spans="1:5" x14ac:dyDescent="0.35">
      <c r="A24" s="1" t="str">
        <f>'Øko% kommunale køkk. m. smiley'!A24</f>
        <v>Farum Nordby Børnehus</v>
      </c>
      <c r="B24" s="16">
        <f>+VLOOKUP(A24,'Øko% Alle køkkener'!$A$5:$I$115,9,FALSE)</f>
        <v>78.399609064010534</v>
      </c>
      <c r="C24" s="1"/>
      <c r="D24" s="1">
        <v>1</v>
      </c>
      <c r="E24" s="1"/>
    </row>
    <row r="25" spans="1:5" x14ac:dyDescent="0.35">
      <c r="A25" s="1" t="str">
        <f>'Øko% kommunale køkk. m. smiley'!A25</f>
        <v>Farum Vejgaard, BH/VS</v>
      </c>
      <c r="B25" s="16">
        <f>+VLOOKUP(A25,'Øko% Alle køkkener'!$A$5:$I$115,9,FALSE)</f>
        <v>85.504391794442512</v>
      </c>
      <c r="C25" s="1"/>
      <c r="D25" s="1">
        <v>1</v>
      </c>
      <c r="E25" s="1"/>
    </row>
    <row r="26" spans="1:5" x14ac:dyDescent="0.35">
      <c r="A26" s="1" t="str">
        <f>'Øko% kommunale køkk. m. smiley'!A26</f>
        <v>Farumsødal</v>
      </c>
      <c r="B26" s="16">
        <f>+VLOOKUP(A26,'Øko% Alle køkkener'!$A$5:$I$115,9,FALSE)</f>
        <v>90.410962656943028</v>
      </c>
      <c r="C26" s="1"/>
      <c r="D26" s="1">
        <v>1</v>
      </c>
      <c r="E26" s="1"/>
    </row>
    <row r="27" spans="1:5" hidden="1" x14ac:dyDescent="0.35">
      <c r="A27" s="1" t="str">
        <f>'Øko% kommunale køkk. m. smiley'!A27</f>
        <v>Furesø Skole- og Familiehus (inkl. Rådgivning, vejledn. og støtte)</v>
      </c>
      <c r="B27" s="16">
        <f>+VLOOKUP(A27,'Øko% Alle køkkener'!$A$5:$I$115,9,FALSE)</f>
        <v>75.018020607094215</v>
      </c>
      <c r="C27" s="1"/>
      <c r="D27" s="1"/>
      <c r="E27" s="1"/>
    </row>
    <row r="28" spans="1:5" x14ac:dyDescent="0.35">
      <c r="A28" s="1" t="str">
        <f>'Øko% kommunale køkk. m. smiley'!A28</f>
        <v>Hareskov Børnehus</v>
      </c>
      <c r="B28" s="16">
        <f>+VLOOKUP(A28,'Øko% Alle køkkener'!$A$5:$I$115,9,FALSE)</f>
        <v>99.120037364567281</v>
      </c>
      <c r="C28" s="1"/>
      <c r="D28" s="104"/>
      <c r="E28" s="1">
        <v>1</v>
      </c>
    </row>
    <row r="29" spans="1:5" hidden="1" x14ac:dyDescent="0.35">
      <c r="A29" s="1" t="str">
        <f>'Øko% kommunale køkk. m. smiley'!A29</f>
        <v>Hareskov FFO - Gasværket, klub</v>
      </c>
      <c r="B29" s="16">
        <f>+VLOOKUP(A29,'Øko% Alle køkkener'!$A$5:$I$115,9,FALSE)</f>
        <v>34.791272992371844</v>
      </c>
      <c r="C29" s="107"/>
      <c r="D29" s="107"/>
      <c r="E29" s="1"/>
    </row>
    <row r="30" spans="1:5" x14ac:dyDescent="0.35">
      <c r="A30" s="1" t="str">
        <f>+'Øko% kommunale køkk. m. smiley'!A30</f>
        <v>Krudthuset</v>
      </c>
      <c r="B30" s="16">
        <f>+VLOOKUP(A30,'Øko% Alle køkkener'!$A$5:$I$115,9,FALSE)</f>
        <v>95.780992921882373</v>
      </c>
      <c r="C30" s="107"/>
      <c r="D30" s="107"/>
      <c r="E30" s="1">
        <v>1</v>
      </c>
    </row>
    <row r="31" spans="1:5" x14ac:dyDescent="0.35">
      <c r="A31" s="1" t="str">
        <f>+'Øko% kommunale køkk. m. smiley'!A31</f>
        <v>Lille Værløse Skole, kantinen</v>
      </c>
      <c r="B31" s="16">
        <f>+VLOOKUP(A31,'Øko% Alle køkkener'!$A$5:$I$115,9,FALSE)</f>
        <v>26.050507086588521</v>
      </c>
      <c r="C31" s="107"/>
      <c r="D31" s="107"/>
      <c r="E31" s="1"/>
    </row>
    <row r="32" spans="1:5" x14ac:dyDescent="0.35">
      <c r="A32" s="1" t="str">
        <f>+'Øko% kommunale køkk. m. smiley'!A32</f>
        <v>Lillestjernen FFO</v>
      </c>
      <c r="B32" s="16">
        <f>+VLOOKUP(A32,'Øko% Alle køkkener'!$A$5:$I$115,9,FALSE)</f>
        <v>87.556581851253867</v>
      </c>
      <c r="C32" s="107"/>
      <c r="D32" s="103">
        <v>1</v>
      </c>
      <c r="E32" s="1"/>
    </row>
    <row r="33" spans="1:5" x14ac:dyDescent="0.35">
      <c r="A33" s="1" t="str">
        <f>+'Øko% kommunale køkk. m. smiley'!A33</f>
        <v>Lillevang - Blommehaven</v>
      </c>
      <c r="B33" s="16">
        <f>+VLOOKUP(A33,'Øko% Alle køkkener'!$A$5:$I$115,9,FALSE)</f>
        <v>71.6145222376947</v>
      </c>
      <c r="C33" s="1">
        <v>3</v>
      </c>
      <c r="D33" s="134"/>
      <c r="E33" s="1"/>
    </row>
    <row r="34" spans="1:5" x14ac:dyDescent="0.35">
      <c r="A34" s="1" t="str">
        <f>+'Øko% kommunale køkk. m. smiley'!A34</f>
        <v xml:space="preserve">Lillevang - Kornelhaven </v>
      </c>
      <c r="B34" s="16">
        <f>+VLOOKUP(A34,'Øko% Alle køkkener'!$A$5:$I$115,9,FALSE)</f>
        <v>52.103350297304289</v>
      </c>
      <c r="C34" s="1">
        <v>3</v>
      </c>
      <c r="D34" s="1"/>
      <c r="E34" s="1"/>
    </row>
    <row r="35" spans="1:5" x14ac:dyDescent="0.35">
      <c r="A35" s="1" t="str">
        <f>+'Øko% kommunale køkk. m. smiley'!A35</f>
        <v>Lillevang - Køkken</v>
      </c>
      <c r="B35" s="16">
        <f>+VLOOKUP(A35,'Øko% Alle køkkener'!$A$5:$I$115,9,FALSE)</f>
        <v>40.849033990425774</v>
      </c>
      <c r="C35" s="1">
        <v>1</v>
      </c>
      <c r="D35" s="1"/>
      <c r="E35" s="1"/>
    </row>
    <row r="36" spans="1:5" x14ac:dyDescent="0.35">
      <c r="A36" s="1" t="str">
        <f>+'Øko% kommunale køkk. m. smiley'!A36</f>
        <v>Lillevang - Magnoliehaven</v>
      </c>
      <c r="B36" s="16">
        <f>+VLOOKUP(A36,'Øko% Alle køkkener'!$A$5:$I$115,9,FALSE)</f>
        <v>53.384022274576992</v>
      </c>
      <c r="C36" s="1">
        <v>1</v>
      </c>
      <c r="D36" s="1"/>
      <c r="E36" s="1"/>
    </row>
    <row r="37" spans="1:5" x14ac:dyDescent="0.35">
      <c r="A37" s="1" t="str">
        <f>+'Øko% kommunale køkk. m. smiley'!A37</f>
        <v>Lillevang - Syrenhaven</v>
      </c>
      <c r="B37" s="16">
        <f>+VLOOKUP(A37,'Øko% Alle køkkener'!$A$5:$I$115,9,FALSE)</f>
        <v>25.671591979620953</v>
      </c>
      <c r="C37" s="1"/>
      <c r="D37" s="1"/>
      <c r="E37" s="1"/>
    </row>
    <row r="38" spans="1:5" x14ac:dyDescent="0.35">
      <c r="A38" s="1" t="str">
        <f>+'Øko% kommunale køkk. m. smiley'!A38</f>
        <v>Lillevang - Rosenhaven</v>
      </c>
      <c r="B38" s="16">
        <f>+VLOOKUP(A38,'Øko% Alle køkkener'!$A$5:$I$115,9,FALSE)</f>
        <v>19.135513089465956</v>
      </c>
      <c r="C38" s="1"/>
      <c r="D38" s="1"/>
      <c r="E38" s="1"/>
    </row>
    <row r="39" spans="1:5" x14ac:dyDescent="0.35">
      <c r="A39" s="1" t="str">
        <f>+'Øko% kommunale køkk. m. smiley'!A39</f>
        <v>Lyngholmskolen, kantinen</v>
      </c>
      <c r="B39" s="16">
        <f>+VLOOKUP(A39,'Øko% Alle køkkener'!$A$5:$I$115,9,FALSE)</f>
        <v>68.828253807010697</v>
      </c>
      <c r="C39" s="1"/>
      <c r="D39" s="1"/>
      <c r="E39" s="1"/>
    </row>
    <row r="40" spans="1:5" x14ac:dyDescent="0.35">
      <c r="A40" s="1" t="str">
        <f>+'Øko% kommunale køkk. m. smiley'!A40</f>
        <v>Lynghuset</v>
      </c>
      <c r="B40" s="16">
        <f>+VLOOKUP(A40,'Øko% Alle køkkener'!$A$5:$I$115,9,FALSE)</f>
        <v>79.027069504069601</v>
      </c>
      <c r="C40" s="1"/>
      <c r="D40" s="1">
        <v>1</v>
      </c>
      <c r="E40" s="1"/>
    </row>
    <row r="41" spans="1:5" x14ac:dyDescent="0.35">
      <c r="A41" s="1" t="str">
        <f>+'Øko% kommunale køkk. m. smiley'!A41</f>
        <v>Nordvænget Vuggestue</v>
      </c>
      <c r="B41" s="16">
        <f>+VLOOKUP(A41,'Øko% Alle køkkener'!$A$5:$I$115,9,FALSE)</f>
        <v>99.565781450150823</v>
      </c>
      <c r="C41" s="1"/>
      <c r="D41" s="1"/>
      <c r="E41" s="103">
        <v>1</v>
      </c>
    </row>
    <row r="42" spans="1:5" x14ac:dyDescent="0.35">
      <c r="A42" s="1" t="str">
        <f>+'Øko% kommunale køkk. m. smiley'!A42</f>
        <v>Paletten (Valhalla)</v>
      </c>
      <c r="B42" s="16">
        <f>+VLOOKUP(A42,'Øko% Alle køkkener'!$A$5:$I$115,9,FALSE)</f>
        <v>89.181762902309117</v>
      </c>
      <c r="C42" s="1"/>
      <c r="D42" s="1">
        <v>1</v>
      </c>
      <c r="E42" s="1"/>
    </row>
    <row r="43" spans="1:5" x14ac:dyDescent="0.35">
      <c r="A43" s="1" t="str">
        <f>+'Øko% kommunale køkk. m. smiley'!A43</f>
        <v>Plejecenteret Solbjerghaven</v>
      </c>
      <c r="B43" s="16">
        <f>+VLOOKUP(A43,'Øko% Alle køkkener'!$A$5:$I$115,9,FALSE)</f>
        <v>30.729277615684172</v>
      </c>
      <c r="C43" s="1"/>
      <c r="D43" s="1"/>
      <c r="E43" s="1"/>
    </row>
    <row r="44" spans="1:5" x14ac:dyDescent="0.35">
      <c r="A44" s="1" t="str">
        <f>+'Øko% kommunale køkk. m. smiley'!A44</f>
        <v>Ryet Børnehus</v>
      </c>
      <c r="B44" s="16">
        <f>+VLOOKUP(A44,'Øko% Alle køkkener'!$A$5:$I$115,9,FALSE)</f>
        <v>94.167403276431202</v>
      </c>
      <c r="C44" s="1"/>
      <c r="D44" s="1"/>
      <c r="E44" s="1">
        <v>1</v>
      </c>
    </row>
    <row r="45" spans="1:5" x14ac:dyDescent="0.35">
      <c r="A45" s="1" t="str">
        <f>+'Øko% kommunale køkk. m. smiley'!A45</f>
        <v>Rådhuset Furesø Kommune + frugtordning</v>
      </c>
      <c r="B45" s="16">
        <f>+VLOOKUP(A45,'Øko% Alle køkkener'!$A$5:$I$115,9,FALSE)</f>
        <v>80.24765884789494</v>
      </c>
      <c r="C45" s="1"/>
      <c r="D45" s="1">
        <v>1</v>
      </c>
      <c r="E45" s="1"/>
    </row>
    <row r="46" spans="1:5" x14ac:dyDescent="0.35">
      <c r="A46" s="1" t="str">
        <f>+'Øko% kommunale køkk. m. smiley'!A46</f>
        <v>Skovgården</v>
      </c>
      <c r="B46" s="16">
        <f>+VLOOKUP(A46,'Øko% Alle køkkener'!$A$5:$I$115,9,FALSE)</f>
        <v>56.720573870573872</v>
      </c>
      <c r="C46" s="1">
        <v>1</v>
      </c>
      <c r="D46" s="1"/>
      <c r="E46" s="1"/>
    </row>
    <row r="47" spans="1:5" x14ac:dyDescent="0.35">
      <c r="A47" s="1" t="str">
        <f>+'Øko% kommunale køkk. m. smiley'!A47</f>
        <v>Solstrålen</v>
      </c>
      <c r="B47" s="16">
        <f>+VLOOKUP(A47,'Øko% Alle køkkener'!$A$5:$I$115,9,FALSE)</f>
        <v>91.534960331768247</v>
      </c>
      <c r="C47" s="1"/>
      <c r="D47" s="1">
        <v>1</v>
      </c>
      <c r="E47" s="1"/>
    </row>
    <row r="48" spans="1:5" x14ac:dyDescent="0.35">
      <c r="A48" s="1" t="str">
        <f>+'Øko% kommunale køkk. m. smiley'!A48</f>
        <v>Stavnsholt Børnehus, integr.</v>
      </c>
      <c r="B48" s="16">
        <f>+VLOOKUP(A48,'Øko% Alle køkkener'!$A$5:$I$115,9,FALSE)</f>
        <v>94.553228541717829</v>
      </c>
      <c r="C48" s="1"/>
      <c r="D48" s="1"/>
      <c r="E48" s="1">
        <v>1</v>
      </c>
    </row>
    <row r="49" spans="1:5" hidden="1" x14ac:dyDescent="0.35">
      <c r="A49" s="1" t="str">
        <f>+'Øko% kommunale køkk. m. smiley'!A49</f>
        <v xml:space="preserve">Stavnsholtskolen, kantinen. </v>
      </c>
      <c r="B49" s="16">
        <f>+VLOOKUP(A49,'Øko% Alle køkkener'!$A$5:$I$115,9,FALSE)</f>
        <v>81.662001167755051</v>
      </c>
      <c r="C49" s="1"/>
      <c r="D49" s="1"/>
      <c r="E49" s="1"/>
    </row>
    <row r="50" spans="1:5" x14ac:dyDescent="0.35">
      <c r="A50" s="1" t="str">
        <f>+'Øko% kommunale køkk. m. smiley'!A50</f>
        <v>Svanepunktet Plejecenter, Svane</v>
      </c>
      <c r="B50" s="16">
        <f>+VLOOKUP(A50,'Øko% Alle køkkener'!$A$5:$I$115,9,FALSE)</f>
        <v>53.878509643443159</v>
      </c>
      <c r="C50" s="1">
        <v>2</v>
      </c>
      <c r="D50" s="1"/>
      <c r="E50" s="1"/>
    </row>
    <row r="51" spans="1:5" x14ac:dyDescent="0.35">
      <c r="A51" s="1" t="str">
        <f>+'Øko% kommunale køkk. m. smiley'!A51</f>
        <v>Svanepunktet, Rehab</v>
      </c>
      <c r="B51" s="16">
        <f>+VLOOKUP(A51,'Øko% Alle køkkener'!$A$5:$I$115,9,FALSE)</f>
        <v>62.083956415168188</v>
      </c>
      <c r="C51" s="1">
        <v>2</v>
      </c>
      <c r="D51" s="1"/>
      <c r="E51" s="1"/>
    </row>
    <row r="52" spans="1:5" x14ac:dyDescent="0.35">
      <c r="A52" s="1" t="str">
        <f>'Øko% kommunale køkk. m. smiley'!A52</f>
        <v>Syvstjerneklubben &amp; kantine</v>
      </c>
      <c r="B52" s="16">
        <f>+VLOOKUP(A52,'Øko% Alle køkkener'!$A$5:$I$115,9,FALSE)</f>
        <v>55.962572312962493</v>
      </c>
      <c r="C52" s="1"/>
      <c r="D52" s="1"/>
      <c r="E52" s="1"/>
    </row>
    <row r="53" spans="1:5" hidden="1" x14ac:dyDescent="0.35">
      <c r="A53" s="1" t="str">
        <f>'Øko% kommunale køkk. m. smiley'!A53</f>
        <v>Søndersø FFO 2, Solbjerggaard</v>
      </c>
      <c r="B53" s="16">
        <f>+VLOOKUP(A53,'Øko% Alle køkkener'!$A$5:$I$115,9,FALSE)</f>
        <v>12.897674649619745</v>
      </c>
      <c r="C53" s="1"/>
      <c r="D53" s="1"/>
      <c r="E53" s="1"/>
    </row>
    <row r="54" spans="1:5" x14ac:dyDescent="0.35">
      <c r="A54" s="1" t="str">
        <f>'Øko% kommunale køkk. m. smiley'!A54</f>
        <v>Værløse Svømmehal</v>
      </c>
      <c r="B54" s="16">
        <f>+VLOOKUP(A54,'Øko% Alle køkkener'!$A$5:$I$115,9,FALSE)</f>
        <v>24.207788215556633</v>
      </c>
      <c r="C54" s="1"/>
      <c r="D54" s="1"/>
      <c r="E54" s="1"/>
    </row>
    <row r="55" spans="1:5" x14ac:dyDescent="0.35">
      <c r="A55" s="1" t="str">
        <f>'Øko% kommunale køkk. m. smiley'!A55</f>
        <v>Åkanden</v>
      </c>
      <c r="B55" s="16">
        <f>+VLOOKUP(A55,'Øko% Alle køkkener'!$A$5:$I$115,9,FALSE)</f>
        <v>95.211594032993602</v>
      </c>
      <c r="C55" s="1"/>
      <c r="D55" s="1"/>
      <c r="E55" s="1">
        <v>1</v>
      </c>
    </row>
    <row r="56" spans="1:5" hidden="1" x14ac:dyDescent="0.35">
      <c r="A56" s="1" t="str">
        <f>'Øko% kommunale køkk. m. smiley'!A56</f>
        <v>I alt %</v>
      </c>
      <c r="B56" s="16" t="e">
        <f>+VLOOKUP(A56,'Øko% Alle køkkener'!$A$5:$I$115,9,FALSE)</f>
        <v>#N/A</v>
      </c>
      <c r="C56" s="106"/>
      <c r="D56" s="106"/>
      <c r="E56" s="106"/>
    </row>
    <row r="57" spans="1:5" x14ac:dyDescent="0.35">
      <c r="A57" s="14" t="s">
        <v>61</v>
      </c>
      <c r="B57" s="23">
        <f>C57+D57+E57</f>
        <v>44</v>
      </c>
      <c r="C57" s="10">
        <f>SUM(C4:C56)</f>
        <v>14</v>
      </c>
      <c r="D57" s="10">
        <f>SUM(D4:D56)</f>
        <v>16</v>
      </c>
      <c r="E57" s="10">
        <f>SUM(E4:E56)</f>
        <v>14</v>
      </c>
    </row>
  </sheetData>
  <phoneticPr fontId="32" type="noConversion"/>
  <conditionalFormatting sqref="C4">
    <cfRule type="expression" dxfId="5" priority="2">
      <formula>_xlfn.IFS($C4&gt;1,$B4&lt;30)</formula>
    </cfRule>
  </conditionalFormatting>
  <conditionalFormatting sqref="D4:D56">
    <cfRule type="expression" dxfId="4" priority="4">
      <formula>_xlfn.IFS($D4&gt;1,$B4&lt;60)</formula>
    </cfRule>
  </conditionalFormatting>
  <conditionalFormatting sqref="E4:E43 E45:E56">
    <cfRule type="expression" dxfId="3" priority="1">
      <formula>_xlfn.IFS($E4&gt;1,$B4&lt;90)</formula>
    </cfRule>
  </conditionalFormatting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3F36C6-1154-49C3-9441-A6713B4BA070}">
  <dimension ref="A1:P86"/>
  <sheetViews>
    <sheetView zoomScale="78" zoomScaleNormal="78" workbookViewId="0">
      <pane ySplit="4" topLeftCell="A46" activePane="bottomLeft" state="frozen"/>
      <selection activeCell="G24" sqref="G24"/>
      <selection pane="bottomLeft" activeCell="C45" sqref="C45"/>
    </sheetView>
  </sheetViews>
  <sheetFormatPr defaultColWidth="9.1796875" defaultRowHeight="14.5" x14ac:dyDescent="0.35"/>
  <cols>
    <col min="1" max="1" width="47.453125" style="48" customWidth="1"/>
    <col min="2" max="2" width="24.453125" style="48" hidden="1" customWidth="1"/>
    <col min="3" max="3" width="12.7265625" style="47" customWidth="1"/>
    <col min="4" max="5" width="14.1796875" style="46" customWidth="1"/>
    <col min="6" max="6" width="12.1796875" style="45" customWidth="1"/>
    <col min="7" max="7" width="12.81640625" style="45" customWidth="1"/>
    <col min="8" max="8" width="14.81640625" style="44" customWidth="1"/>
    <col min="9" max="9" width="16.1796875" style="44" customWidth="1"/>
    <col min="10" max="11" width="11.7265625" style="43" customWidth="1"/>
    <col min="12" max="13" width="11.7265625" style="42" customWidth="1"/>
    <col min="14" max="15" width="11.7265625" style="41" customWidth="1"/>
    <col min="16" max="16384" width="9.1796875" style="40"/>
  </cols>
  <sheetData>
    <row r="1" spans="1:15" ht="21" x14ac:dyDescent="0.35">
      <c r="A1" s="79" t="str">
        <f>'Øko% Alle køkkener'!A1</f>
        <v>4. kvartal 25</v>
      </c>
      <c r="B1" s="88"/>
      <c r="C1" s="78" t="s">
        <v>62</v>
      </c>
      <c r="D1" s="77"/>
      <c r="E1" s="77"/>
      <c r="J1" s="76"/>
    </row>
    <row r="2" spans="1:15" ht="18" customHeight="1" thickBot="1" x14ac:dyDescent="0.4">
      <c r="A2" s="82" t="s">
        <v>33</v>
      </c>
      <c r="B2" s="89"/>
      <c r="C2" s="75"/>
      <c r="D2" s="12"/>
      <c r="E2" s="12"/>
      <c r="N2" s="74"/>
      <c r="O2" s="74"/>
    </row>
    <row r="3" spans="1:15" s="72" customFormat="1" ht="49" customHeight="1" thickTop="1" thickBot="1" x14ac:dyDescent="0.4">
      <c r="A3" s="73" t="s">
        <v>0</v>
      </c>
      <c r="B3" s="93"/>
      <c r="C3" s="91" t="s">
        <v>14</v>
      </c>
      <c r="D3" s="221" t="s">
        <v>2</v>
      </c>
      <c r="E3" s="222"/>
      <c r="F3" s="221" t="s">
        <v>170</v>
      </c>
      <c r="G3" s="222"/>
      <c r="H3" s="223" t="s">
        <v>1</v>
      </c>
      <c r="I3" s="224"/>
      <c r="J3" s="225" t="s">
        <v>82</v>
      </c>
      <c r="K3" s="226"/>
      <c r="L3" s="217" t="s">
        <v>49</v>
      </c>
      <c r="M3" s="218"/>
      <c r="N3" s="219" t="s">
        <v>83</v>
      </c>
      <c r="O3" s="220"/>
    </row>
    <row r="4" spans="1:15" ht="15.5" thickTop="1" thickBot="1" x14ac:dyDescent="0.4">
      <c r="A4" s="71" t="s">
        <v>0</v>
      </c>
      <c r="B4" s="92" t="s">
        <v>114</v>
      </c>
      <c r="C4" s="70" t="s">
        <v>14</v>
      </c>
      <c r="D4" s="63" t="s">
        <v>31</v>
      </c>
      <c r="E4" s="62" t="s">
        <v>32</v>
      </c>
      <c r="F4" s="69" t="s">
        <v>31</v>
      </c>
      <c r="G4" s="68" t="s">
        <v>32</v>
      </c>
      <c r="H4" s="67" t="s">
        <v>31</v>
      </c>
      <c r="I4" s="66" t="s">
        <v>32</v>
      </c>
      <c r="J4" s="65" t="s">
        <v>31</v>
      </c>
      <c r="K4" s="64" t="s">
        <v>32</v>
      </c>
      <c r="L4" s="63" t="s">
        <v>31</v>
      </c>
      <c r="M4" s="62" t="s">
        <v>32</v>
      </c>
      <c r="N4" s="63" t="s">
        <v>31</v>
      </c>
      <c r="O4" s="62" t="s">
        <v>32</v>
      </c>
    </row>
    <row r="5" spans="1:15" s="41" customFormat="1" ht="15" thickTop="1" x14ac:dyDescent="0.35">
      <c r="A5" s="57" t="str">
        <f>'Øko% Alle køkkener'!A5</f>
        <v>Anais Kulturcafé, Farum Kulturhus</v>
      </c>
      <c r="B5" s="59">
        <f>+VLOOKUP(A5,'Øko% Alle køkkener'!$A$5:$H$115,3,FALSE)</f>
        <v>0</v>
      </c>
      <c r="C5" s="58">
        <f>'Øko% Alle køkkener'!I5</f>
        <v>65.673054175538212</v>
      </c>
      <c r="D5" s="57">
        <f>'Øko% Alle køkkener'!J5</f>
        <v>832.8</v>
      </c>
      <c r="E5" s="57">
        <f>'Øko% Alle køkkener'!K5</f>
        <v>1268.0999999999999</v>
      </c>
      <c r="F5" s="57">
        <f>'Øko% Alle køkkener'!L5</f>
        <v>0</v>
      </c>
      <c r="G5" s="57">
        <f>'Øko% Alle køkkener'!M5</f>
        <v>0</v>
      </c>
      <c r="H5" s="57">
        <f>'Øko% Alle køkkener'!N5</f>
        <v>832.8</v>
      </c>
      <c r="I5" s="57">
        <f>'Øko% Alle køkkener'!O5</f>
        <v>1268.0999999999999</v>
      </c>
      <c r="J5" s="57">
        <f>'Øko% Alle køkkener'!P5</f>
        <v>0</v>
      </c>
      <c r="K5" s="57">
        <f>'Øko% Alle køkkener'!Q5</f>
        <v>0</v>
      </c>
      <c r="L5" s="57">
        <f>'Øko% Alle køkkener'!R5</f>
        <v>0</v>
      </c>
      <c r="M5" s="57">
        <f>'Øko% Alle køkkener'!S5</f>
        <v>0</v>
      </c>
      <c r="N5" s="57">
        <f>'Øko% Alle køkkener'!T5</f>
        <v>0</v>
      </c>
      <c r="O5" s="57">
        <f>'Øko% Alle køkkener'!U5</f>
        <v>0</v>
      </c>
    </row>
    <row r="6" spans="1:15" x14ac:dyDescent="0.35">
      <c r="A6" s="59" t="str">
        <f>'Øko% Alle køkkener'!A7</f>
        <v>Børnehuset Atlantis (Tidl. Børnehusene, Ryttergårdsvej)</v>
      </c>
      <c r="B6" s="59">
        <f>+VLOOKUP(A6,'Øko% Alle køkkener'!$A$5:$H$115,3,FALSE)</f>
        <v>0</v>
      </c>
      <c r="C6" s="60">
        <f>'Øko% Alle køkkener'!I7</f>
        <v>89.272874205830945</v>
      </c>
      <c r="D6" s="59">
        <f>'Øko% Alle køkkener'!J7</f>
        <v>1294.6869999999999</v>
      </c>
      <c r="E6" s="59">
        <f>'Øko% Alle køkkener'!K7</f>
        <v>1450.258</v>
      </c>
      <c r="F6" s="59">
        <f>'Øko% Alle køkkener'!L7</f>
        <v>0</v>
      </c>
      <c r="G6" s="59">
        <f>'Øko% Alle køkkener'!M7</f>
        <v>0</v>
      </c>
      <c r="H6" s="57">
        <f>'Øko% Alle køkkener'!N7</f>
        <v>1288.6869999999999</v>
      </c>
      <c r="I6" s="57">
        <f>'Øko% Alle køkkener'!O7</f>
        <v>1444.258</v>
      </c>
      <c r="J6" s="57">
        <f>'Øko% Alle køkkener'!P7</f>
        <v>0</v>
      </c>
      <c r="K6" s="57">
        <f>'Øko% Alle køkkener'!Q7</f>
        <v>0</v>
      </c>
      <c r="L6" s="57">
        <f>'Øko% Alle køkkener'!R7</f>
        <v>6</v>
      </c>
      <c r="M6" s="57">
        <f>'Øko% Alle køkkener'!S7</f>
        <v>6</v>
      </c>
      <c r="N6" s="57">
        <f>'Øko% Alle køkkener'!T7</f>
        <v>0</v>
      </c>
      <c r="O6" s="57">
        <f>'Øko% Alle køkkener'!U7</f>
        <v>0</v>
      </c>
    </row>
    <row r="7" spans="1:15" x14ac:dyDescent="0.35">
      <c r="A7" s="59" t="str">
        <f>'Øko% Alle køkkener'!A8</f>
        <v>Børnehuset Birkedal</v>
      </c>
      <c r="B7" s="59">
        <f>+VLOOKUP(A7,'Øko% Alle køkkener'!$A$5:$H$115,3,FALSE)</f>
        <v>1017028</v>
      </c>
      <c r="C7" s="60">
        <f>'Øko% Alle køkkener'!I8</f>
        <v>75.924303093592641</v>
      </c>
      <c r="D7" s="59">
        <f>'Øko% Alle køkkener'!J8</f>
        <v>913.17499999999995</v>
      </c>
      <c r="E7" s="59">
        <f>'Øko% Alle køkkener'!K8</f>
        <v>1202.7440000000001</v>
      </c>
      <c r="F7" s="59">
        <f>'Øko% Alle køkkener'!L8</f>
        <v>0</v>
      </c>
      <c r="G7" s="59">
        <f>'Øko% Alle køkkener'!M8</f>
        <v>0</v>
      </c>
      <c r="H7" s="57">
        <f>'Øko% Alle køkkener'!N8</f>
        <v>913.17499999999995</v>
      </c>
      <c r="I7" s="57">
        <f>'Øko% Alle køkkener'!O8</f>
        <v>1199.104</v>
      </c>
      <c r="J7" s="57">
        <f>'Øko% Alle køkkener'!P8</f>
        <v>0</v>
      </c>
      <c r="K7" s="57">
        <f>'Øko% Alle køkkener'!Q8</f>
        <v>0</v>
      </c>
      <c r="L7" s="57">
        <f>'Øko% Alle køkkener'!R8</f>
        <v>0</v>
      </c>
      <c r="M7" s="57">
        <f>'Øko% Alle køkkener'!S8</f>
        <v>3.64</v>
      </c>
      <c r="N7" s="57">
        <f>'Øko% Alle køkkener'!T8</f>
        <v>0</v>
      </c>
      <c r="O7" s="57">
        <f>'Øko% Alle køkkener'!U8</f>
        <v>0</v>
      </c>
    </row>
    <row r="8" spans="1:15" x14ac:dyDescent="0.35">
      <c r="A8" s="59" t="str">
        <f>'Øko% Alle køkkener'!A9</f>
        <v>Børnehuset Birkhøj</v>
      </c>
      <c r="B8" s="59">
        <f>+VLOOKUP(A8,'Øko% Alle køkkener'!$A$5:$H$115,3,FALSE)</f>
        <v>0</v>
      </c>
      <c r="C8" s="60">
        <f>'Øko% Alle køkkener'!I9</f>
        <v>83.87924503763432</v>
      </c>
      <c r="D8" s="59">
        <f>'Øko% Alle køkkener'!J9</f>
        <v>1289.9159999999999</v>
      </c>
      <c r="E8" s="59">
        <f>'Øko% Alle køkkener'!K9</f>
        <v>1537.825</v>
      </c>
      <c r="F8" s="59">
        <f>'Øko% Alle køkkener'!L9</f>
        <v>0</v>
      </c>
      <c r="G8" s="59">
        <f>'Øko% Alle køkkener'!M9</f>
        <v>0</v>
      </c>
      <c r="H8" s="57">
        <f>'Øko% Alle køkkener'!N9</f>
        <v>1289.9159999999999</v>
      </c>
      <c r="I8" s="57">
        <f>'Øko% Alle køkkener'!O9</f>
        <v>1537.825</v>
      </c>
      <c r="J8" s="57">
        <f>'Øko% Alle køkkener'!P9</f>
        <v>0</v>
      </c>
      <c r="K8" s="57">
        <f>'Øko% Alle køkkener'!Q9</f>
        <v>0</v>
      </c>
      <c r="L8" s="57">
        <f>'Øko% Alle køkkener'!R9</f>
        <v>0</v>
      </c>
      <c r="M8" s="57">
        <f>'Øko% Alle køkkener'!S9</f>
        <v>0</v>
      </c>
      <c r="N8" s="57">
        <f>'Øko% Alle køkkener'!T9</f>
        <v>0</v>
      </c>
      <c r="O8" s="57">
        <f>'Øko% Alle køkkener'!U9</f>
        <v>0</v>
      </c>
    </row>
    <row r="9" spans="1:15" x14ac:dyDescent="0.35">
      <c r="A9" s="59" t="str">
        <f>'Øko% Alle køkkener'!A11</f>
        <v>Børnehuset Bøgely</v>
      </c>
      <c r="B9" s="59">
        <f>+VLOOKUP(A9,'Øko% Alle køkkener'!$A$5:$H$115,3,FALSE)</f>
        <v>0</v>
      </c>
      <c r="C9" s="60">
        <f>'Øko% Alle køkkener'!I11</f>
        <v>99.114650782155564</v>
      </c>
      <c r="D9" s="59">
        <f>'Øko% Alle køkkener'!J11</f>
        <v>2552.4550000000004</v>
      </c>
      <c r="E9" s="59">
        <f>'Øko% Alle køkkener'!K11</f>
        <v>2575.2550000000001</v>
      </c>
      <c r="F9" s="59">
        <f>'Øko% Alle køkkener'!L11</f>
        <v>0</v>
      </c>
      <c r="G9" s="59">
        <f>'Øko% Alle køkkener'!M11</f>
        <v>0</v>
      </c>
      <c r="H9" s="57">
        <f>'Øko% Alle køkkener'!N11</f>
        <v>2550.6550000000002</v>
      </c>
      <c r="I9" s="57">
        <f>'Øko% Alle køkkener'!O11</f>
        <v>2555.6550000000002</v>
      </c>
      <c r="J9" s="57">
        <f>'Øko% Alle køkkener'!P11</f>
        <v>0</v>
      </c>
      <c r="K9" s="57">
        <f>'Øko% Alle køkkener'!Q11</f>
        <v>0</v>
      </c>
      <c r="L9" s="57">
        <f>'Øko% Alle køkkener'!R11</f>
        <v>1.8</v>
      </c>
      <c r="M9" s="57">
        <f>'Øko% Alle køkkener'!S11</f>
        <v>19.600000000000001</v>
      </c>
      <c r="N9" s="57">
        <f>'Øko% Alle køkkener'!T11</f>
        <v>0</v>
      </c>
      <c r="O9" s="57">
        <f>'Øko% Alle køkkener'!U11</f>
        <v>0</v>
      </c>
    </row>
    <row r="10" spans="1:15" x14ac:dyDescent="0.35">
      <c r="A10" s="59" t="str">
        <f>'Øko% Alle køkkener'!A12</f>
        <v>Børnehuset Egetræet</v>
      </c>
      <c r="B10" s="59">
        <f>+VLOOKUP(A10,'Øko% Alle køkkener'!$A$5:$H$115,3,FALSE)</f>
        <v>0</v>
      </c>
      <c r="C10" s="60">
        <f>'Øko% Alle køkkener'!I12</f>
        <v>83.951048863652176</v>
      </c>
      <c r="D10" s="59">
        <f>'Øko% Alle køkkener'!J12</f>
        <v>2351.0549999999998</v>
      </c>
      <c r="E10" s="59">
        <f>'Øko% Alle køkkener'!K12</f>
        <v>2800.5070000000001</v>
      </c>
      <c r="F10" s="59">
        <f>'Øko% Alle køkkener'!L12</f>
        <v>0</v>
      </c>
      <c r="G10" s="59">
        <f>'Øko% Alle køkkener'!M12</f>
        <v>0</v>
      </c>
      <c r="H10" s="57">
        <f>'Øko% Alle køkkener'!N12</f>
        <v>2351.0549999999998</v>
      </c>
      <c r="I10" s="57">
        <f>'Øko% Alle køkkener'!O12</f>
        <v>2800.5070000000001</v>
      </c>
      <c r="J10" s="57">
        <f>'Øko% Alle køkkener'!P12</f>
        <v>0</v>
      </c>
      <c r="K10" s="57">
        <f>'Øko% Alle køkkener'!Q12</f>
        <v>0</v>
      </c>
      <c r="L10" s="57">
        <f>'Øko% Alle køkkener'!R12</f>
        <v>0</v>
      </c>
      <c r="M10" s="57">
        <f>'Øko% Alle køkkener'!S12</f>
        <v>0</v>
      </c>
      <c r="N10" s="57">
        <f>'Øko% Alle køkkener'!T12</f>
        <v>0</v>
      </c>
      <c r="O10" s="57">
        <f>'Øko% Alle køkkener'!U12</f>
        <v>0</v>
      </c>
    </row>
    <row r="11" spans="1:15" x14ac:dyDescent="0.35">
      <c r="A11" s="59" t="str">
        <f>'Øko% Alle køkkener'!A13</f>
        <v>Børnehuset Kirke Værløse</v>
      </c>
      <c r="B11" s="59">
        <f>+VLOOKUP(A11,'Øko% Alle køkkener'!$A$5:$H$115,3,FALSE)</f>
        <v>0</v>
      </c>
      <c r="C11" s="60">
        <f>'Øko% Alle køkkener'!I13</f>
        <v>98.978004830428219</v>
      </c>
      <c r="D11" s="59">
        <f>'Øko% Alle køkkener'!J13</f>
        <v>1533.1010000000001</v>
      </c>
      <c r="E11" s="59">
        <f>'Øko% Alle køkkener'!K13</f>
        <v>1548.931</v>
      </c>
      <c r="F11" s="59">
        <f>'Øko% Alle køkkener'!L13</f>
        <v>0</v>
      </c>
      <c r="G11" s="59">
        <f>'Øko% Alle køkkener'!M13</f>
        <v>0</v>
      </c>
      <c r="H11" s="57">
        <f>'Øko% Alle køkkener'!N13</f>
        <v>1533.1010000000001</v>
      </c>
      <c r="I11" s="57">
        <f>'Øko% Alle køkkener'!O13</f>
        <v>1533.1010000000001</v>
      </c>
      <c r="J11" s="57">
        <f>'Øko% Alle køkkener'!P13</f>
        <v>0</v>
      </c>
      <c r="K11" s="57">
        <f>'Øko% Alle køkkener'!Q13</f>
        <v>0</v>
      </c>
      <c r="L11" s="57">
        <f>'Øko% Alle køkkener'!R13</f>
        <v>0</v>
      </c>
      <c r="M11" s="57">
        <f>'Øko% Alle køkkener'!S13</f>
        <v>15.83</v>
      </c>
      <c r="N11" s="57">
        <f>'Øko% Alle køkkener'!T13</f>
        <v>0</v>
      </c>
      <c r="O11" s="57">
        <f>'Øko% Alle køkkener'!U13</f>
        <v>0</v>
      </c>
    </row>
    <row r="12" spans="1:15" x14ac:dyDescent="0.35">
      <c r="A12" s="59" t="str">
        <f>'Øko% Alle køkkener'!A14</f>
        <v>Børnehuset Lyngholm nr. 15 (vuggest.)</v>
      </c>
      <c r="B12" s="59">
        <f>+VLOOKUP(A12,'Øko% Alle køkkener'!$A$5:$H$115,3,FALSE)</f>
        <v>0</v>
      </c>
      <c r="C12" s="60">
        <f>'Øko% Alle køkkener'!I14</f>
        <v>96.734716526178275</v>
      </c>
      <c r="D12" s="59">
        <f>'Øko% Alle køkkener'!J14</f>
        <v>383.52800000000002</v>
      </c>
      <c r="E12" s="59">
        <f>'Øko% Alle køkkener'!K14</f>
        <v>396.47399999999999</v>
      </c>
      <c r="F12" s="59">
        <f>'Øko% Alle køkkener'!L14</f>
        <v>0</v>
      </c>
      <c r="G12" s="59">
        <f>'Øko% Alle køkkener'!M14</f>
        <v>0</v>
      </c>
      <c r="H12" s="57">
        <f>'Øko% Alle køkkener'!N14</f>
        <v>378.02800000000002</v>
      </c>
      <c r="I12" s="57">
        <f>'Øko% Alle køkkener'!O14</f>
        <v>390.97399999999999</v>
      </c>
      <c r="J12" s="57">
        <f>'Øko% Alle køkkener'!P14</f>
        <v>0</v>
      </c>
      <c r="K12" s="57">
        <f>'Øko% Alle køkkener'!Q14</f>
        <v>0</v>
      </c>
      <c r="L12" s="57">
        <f>'Øko% Alle køkkener'!R14</f>
        <v>5.5</v>
      </c>
      <c r="M12" s="57">
        <f>'Øko% Alle køkkener'!S14</f>
        <v>5.5</v>
      </c>
      <c r="N12" s="57">
        <f>'Øko% Alle køkkener'!T14</f>
        <v>0</v>
      </c>
      <c r="O12" s="57">
        <f>'Øko% Alle køkkener'!U14</f>
        <v>0</v>
      </c>
    </row>
    <row r="13" spans="1:15" x14ac:dyDescent="0.35">
      <c r="A13" s="59" t="str">
        <f>'Øko% Alle køkkener'!A15</f>
        <v>Børnehuset Lyngholm nr. 17 (børneh.)</v>
      </c>
      <c r="B13" s="59">
        <f>+VLOOKUP(A13,'Øko% Alle køkkener'!$A$5:$H$115,3,FALSE)</f>
        <v>0</v>
      </c>
      <c r="C13" s="60">
        <f>'Øko% Alle køkkener'!I15</f>
        <v>94.787118732188787</v>
      </c>
      <c r="D13" s="59">
        <f>'Øko% Alle køkkener'!J15</f>
        <v>1655.403</v>
      </c>
      <c r="E13" s="59">
        <f>'Øko% Alle køkkener'!K15</f>
        <v>1746.443</v>
      </c>
      <c r="F13" s="59">
        <f>'Øko% Alle køkkener'!L15</f>
        <v>0</v>
      </c>
      <c r="G13" s="59">
        <f>'Øko% Alle køkkener'!M15</f>
        <v>0</v>
      </c>
      <c r="H13" s="57">
        <f>'Øko% Alle køkkener'!N15</f>
        <v>1649.903</v>
      </c>
      <c r="I13" s="57">
        <f>'Øko% Alle køkkener'!O15</f>
        <v>1740.943</v>
      </c>
      <c r="J13" s="57">
        <f>'Øko% Alle køkkener'!P15</f>
        <v>0</v>
      </c>
      <c r="K13" s="57">
        <f>'Øko% Alle køkkener'!Q15</f>
        <v>0</v>
      </c>
      <c r="L13" s="57">
        <f>'Øko% Alle køkkener'!R15</f>
        <v>5.5</v>
      </c>
      <c r="M13" s="57">
        <f>'Øko% Alle køkkener'!S15</f>
        <v>5.5</v>
      </c>
      <c r="N13" s="57">
        <f>'Øko% Alle køkkener'!T15</f>
        <v>0</v>
      </c>
      <c r="O13" s="57">
        <f>'Øko% Alle køkkener'!U15</f>
        <v>0</v>
      </c>
    </row>
    <row r="14" spans="1:15" x14ac:dyDescent="0.35">
      <c r="A14" s="59" t="str">
        <f>'Øko% Alle køkkener'!A16</f>
        <v>Børnehuset Mimers Brønd</v>
      </c>
      <c r="B14" s="59">
        <f>+VLOOKUP(A14,'Øko% Alle køkkener'!$A$5:$H$115,3,FALSE)</f>
        <v>2163076</v>
      </c>
      <c r="C14" s="60">
        <f>'Øko% Alle køkkener'!I16</f>
        <v>91.530645122069828</v>
      </c>
      <c r="D14" s="59">
        <f>'Øko% Alle køkkener'!J16</f>
        <v>1204.5139999999999</v>
      </c>
      <c r="E14" s="59">
        <f>'Øko% Alle køkkener'!K16</f>
        <v>1315.9680000000001</v>
      </c>
      <c r="F14" s="59">
        <f>'Øko% Alle køkkener'!L16</f>
        <v>0</v>
      </c>
      <c r="G14" s="59">
        <f>'Øko% Alle køkkener'!M16</f>
        <v>0</v>
      </c>
      <c r="H14" s="57">
        <f>'Øko% Alle køkkener'!N16</f>
        <v>1199.5139999999999</v>
      </c>
      <c r="I14" s="57">
        <f>'Øko% Alle køkkener'!O16</f>
        <v>1310.9680000000001</v>
      </c>
      <c r="J14" s="57">
        <f>'Øko% Alle køkkener'!P16</f>
        <v>0</v>
      </c>
      <c r="K14" s="57">
        <f>'Øko% Alle køkkener'!Q16</f>
        <v>0</v>
      </c>
      <c r="L14" s="57">
        <f>'Øko% Alle køkkener'!R16</f>
        <v>5</v>
      </c>
      <c r="M14" s="57">
        <f>'Øko% Alle køkkener'!S16</f>
        <v>5</v>
      </c>
      <c r="N14" s="57">
        <f>'Øko% Alle køkkener'!T16</f>
        <v>0</v>
      </c>
      <c r="O14" s="57">
        <f>'Øko% Alle køkkener'!U16</f>
        <v>0</v>
      </c>
    </row>
    <row r="15" spans="1:15" x14ac:dyDescent="0.35">
      <c r="A15" s="59" t="str">
        <f>'Øko% Alle køkkener'!A17</f>
        <v>Børnehuset Nørreskoven</v>
      </c>
      <c r="B15" s="59">
        <f>+VLOOKUP(A15,'Øko% Alle køkkener'!$A$5:$H$115,3,FALSE)</f>
        <v>1017035</v>
      </c>
      <c r="C15" s="60">
        <f>'Øko% Alle køkkener'!I17</f>
        <v>97.639187372986441</v>
      </c>
      <c r="D15" s="57">
        <f>'Øko% Alle køkkener'!J17</f>
        <v>1503.829</v>
      </c>
      <c r="E15" s="59">
        <f>'Øko% Alle køkkener'!K17</f>
        <v>1540.19</v>
      </c>
      <c r="F15" s="59">
        <f>'Øko% Alle køkkener'!L17</f>
        <v>0</v>
      </c>
      <c r="G15" s="59">
        <f>'Øko% Alle køkkener'!M17</f>
        <v>0</v>
      </c>
      <c r="H15" s="57">
        <f>'Øko% Alle køkkener'!N17</f>
        <v>1503.829</v>
      </c>
      <c r="I15" s="57">
        <f>'Øko% Alle køkkener'!O17</f>
        <v>1540.19</v>
      </c>
      <c r="J15" s="57">
        <f>'Øko% Alle køkkener'!P17</f>
        <v>0</v>
      </c>
      <c r="K15" s="57">
        <f>'Øko% Alle køkkener'!Q17</f>
        <v>0</v>
      </c>
      <c r="L15" s="57">
        <f>'Øko% Alle køkkener'!R17</f>
        <v>0</v>
      </c>
      <c r="M15" s="57">
        <f>'Øko% Alle køkkener'!S17</f>
        <v>0</v>
      </c>
      <c r="N15" s="57">
        <f>'Øko% Alle køkkener'!T17</f>
        <v>0</v>
      </c>
      <c r="O15" s="57">
        <f>'Øko% Alle køkkener'!U17</f>
        <v>0</v>
      </c>
    </row>
    <row r="16" spans="1:15" x14ac:dyDescent="0.35">
      <c r="A16" s="59" t="str">
        <f>'Øko% Alle køkkener'!A18</f>
        <v>Børnehuset Siv</v>
      </c>
      <c r="B16" s="59"/>
      <c r="C16" s="60">
        <f>'Øko% Alle køkkener'!I18</f>
        <v>47.188192509516924</v>
      </c>
      <c r="D16" s="59">
        <f>'Øko% Alle køkkener'!J18</f>
        <v>188.66499999999999</v>
      </c>
      <c r="E16" s="59">
        <f>'Øko% Alle køkkener'!K18</f>
        <v>399.81400000000002</v>
      </c>
      <c r="F16" s="59">
        <f>'Øko% Alle køkkener'!L31</f>
        <v>0</v>
      </c>
      <c r="G16" s="59">
        <f>'Øko% Alle køkkener'!M31</f>
        <v>0</v>
      </c>
      <c r="H16" s="57" t="str">
        <f>'Øko% Alle køkkener'!N18</f>
        <v>0</v>
      </c>
      <c r="I16" s="57" t="str">
        <f>'Øko% Alle køkkener'!O18</f>
        <v>0</v>
      </c>
      <c r="J16" s="57">
        <f>'Øko% Alle køkkener'!P18</f>
        <v>0</v>
      </c>
      <c r="K16" s="57">
        <f>'Øko% Alle køkkener'!Q18</f>
        <v>0</v>
      </c>
      <c r="L16" s="57">
        <f>'Øko% Alle køkkener'!R18</f>
        <v>0</v>
      </c>
      <c r="M16" s="57">
        <f>'Øko% Alle køkkener'!S18</f>
        <v>0</v>
      </c>
      <c r="N16" s="57">
        <f>'Øko% Alle køkkener'!T18</f>
        <v>0</v>
      </c>
      <c r="O16" s="57">
        <f>'Øko% Alle køkkener'!U18</f>
        <v>0</v>
      </c>
    </row>
    <row r="17" spans="1:15" x14ac:dyDescent="0.35">
      <c r="A17" s="59" t="str">
        <f>'Øko% Alle køkkener'!A19</f>
        <v>Børnehuset Skovbakken</v>
      </c>
      <c r="B17" s="59">
        <f>+VLOOKUP(A17,'Øko% Alle køkkener'!$A$5:$H$115,3,FALSE)</f>
        <v>0</v>
      </c>
      <c r="C17" s="60">
        <f>'Øko% Alle køkkener'!I19</f>
        <v>91.445314966179964</v>
      </c>
      <c r="D17" s="59">
        <f>'Øko% Alle køkkener'!J19</f>
        <v>1057.3520000000001</v>
      </c>
      <c r="E17" s="59">
        <f>'Øko% Alle køkkener'!K19</f>
        <v>1156.2670000000001</v>
      </c>
      <c r="F17" s="59">
        <f>'Øko% Alle køkkener'!L33</f>
        <v>0</v>
      </c>
      <c r="G17" s="59">
        <f>'Øko% Alle køkkener'!M33</f>
        <v>0</v>
      </c>
      <c r="H17" s="57">
        <f>'Øko% Alle køkkener'!N19</f>
        <v>1049.3520000000001</v>
      </c>
      <c r="I17" s="57">
        <f>'Øko% Alle køkkener'!O19</f>
        <v>1147.289</v>
      </c>
      <c r="J17" s="57">
        <f>'Øko% Alle køkkener'!P19</f>
        <v>0</v>
      </c>
      <c r="K17" s="57">
        <f>'Øko% Alle køkkener'!Q19</f>
        <v>0</v>
      </c>
      <c r="L17" s="57">
        <f>'Øko% Alle køkkener'!R19</f>
        <v>8</v>
      </c>
      <c r="M17" s="57">
        <f>'Øko% Alle køkkener'!S19</f>
        <v>8.9779999999999998</v>
      </c>
      <c r="N17" s="57">
        <f>'Øko% Alle køkkener'!T19</f>
        <v>0</v>
      </c>
      <c r="O17" s="57">
        <f>'Øko% Alle køkkener'!U19</f>
        <v>0</v>
      </c>
    </row>
    <row r="18" spans="1:15" x14ac:dyDescent="0.35">
      <c r="A18" s="59" t="str">
        <f>'Øko% Alle køkkener'!A20</f>
        <v>Børnehuset Solbjerg</v>
      </c>
      <c r="B18" s="59">
        <f>+VLOOKUP(A18,'Øko% Alle køkkener'!$A$5:$H$115,3,FALSE)</f>
        <v>2163049</v>
      </c>
      <c r="C18" s="60">
        <f>'Øko% Alle køkkener'!I20</f>
        <v>94.862372104200659</v>
      </c>
      <c r="D18" s="59">
        <f>'Øko% Alle køkkener'!J20</f>
        <v>1527.6570000000002</v>
      </c>
      <c r="E18" s="59">
        <f>'Øko% Alle køkkener'!K20</f>
        <v>1610.393</v>
      </c>
      <c r="F18" s="59">
        <f>'Øko% Alle køkkener'!L20</f>
        <v>22.402999999999999</v>
      </c>
      <c r="G18" s="59">
        <f>'Øko% Alle køkkener'!M20</f>
        <v>27.234999999999999</v>
      </c>
      <c r="H18" s="57">
        <f>'Øko% Alle køkkener'!N20</f>
        <v>1498.5340000000001</v>
      </c>
      <c r="I18" s="57">
        <f>'Øko% Alle køkkener'!O20</f>
        <v>1502.4380000000001</v>
      </c>
      <c r="J18" s="57">
        <f>'Øko% Alle køkkener'!P20</f>
        <v>0</v>
      </c>
      <c r="K18" s="57">
        <f>'Øko% Alle køkkener'!Q20</f>
        <v>0</v>
      </c>
      <c r="L18" s="57">
        <f>'Øko% Alle køkkener'!R20</f>
        <v>6.72</v>
      </c>
      <c r="M18" s="57">
        <f>'Øko% Alle køkkener'!S20</f>
        <v>80.72</v>
      </c>
      <c r="N18" s="57">
        <f>'Øko% Alle køkkener'!T20</f>
        <v>0</v>
      </c>
      <c r="O18" s="57">
        <f>'Øko% Alle køkkener'!U20</f>
        <v>0</v>
      </c>
    </row>
    <row r="19" spans="1:15" x14ac:dyDescent="0.35">
      <c r="A19" s="59" t="str">
        <f>'Øko% Alle køkkener'!A21</f>
        <v>Børnehuset Søndersø</v>
      </c>
      <c r="B19" s="59">
        <f>+VLOOKUP(A19,'Øko% Alle køkkener'!$A$5:$H$115,3,FALSE)</f>
        <v>0</v>
      </c>
      <c r="C19" s="60">
        <f>'Øko% Alle køkkener'!I21</f>
        <v>80.796499120612992</v>
      </c>
      <c r="D19" s="59">
        <f>'Øko% Alle køkkener'!J21</f>
        <v>2733.8359999999998</v>
      </c>
      <c r="E19" s="59">
        <f>'Øko% Alle køkkener'!K21</f>
        <v>3383.607</v>
      </c>
      <c r="F19" s="59">
        <f>'Øko% Alle køkkener'!L21</f>
        <v>0</v>
      </c>
      <c r="G19" s="59">
        <f>'Øko% Alle køkkener'!M21</f>
        <v>0</v>
      </c>
      <c r="H19" s="57">
        <f>'Øko% Alle køkkener'!N21</f>
        <v>2733.692</v>
      </c>
      <c r="I19" s="57">
        <f>'Øko% Alle køkkener'!O21</f>
        <v>3341.2289999999998</v>
      </c>
      <c r="J19" s="57">
        <f>'Øko% Alle køkkener'!P21</f>
        <v>0</v>
      </c>
      <c r="K19" s="57">
        <f>'Øko% Alle køkkener'!Q21</f>
        <v>0</v>
      </c>
      <c r="L19" s="57">
        <f>'Øko% Alle køkkener'!R22</f>
        <v>12</v>
      </c>
      <c r="M19" s="57">
        <f>'Øko% Alle køkkener'!S21</f>
        <v>42.378</v>
      </c>
      <c r="N19" s="57">
        <f>'Øko% Alle køkkener'!T21</f>
        <v>0</v>
      </c>
      <c r="O19" s="57">
        <f>'Øko% Alle køkkener'!U21</f>
        <v>0</v>
      </c>
    </row>
    <row r="20" spans="1:15" x14ac:dyDescent="0.35">
      <c r="A20" s="59" t="str">
        <f>'Øko% Alle køkkener'!A22</f>
        <v>Børnehuset Vingesus</v>
      </c>
      <c r="B20" s="59">
        <f>+VLOOKUP(A20,'Øko% Alle køkkener'!$A$5:$H$115,3,FALSE)</f>
        <v>0</v>
      </c>
      <c r="C20" s="60">
        <f>'Øko% Alle køkkener'!I22</f>
        <v>97.311398601772524</v>
      </c>
      <c r="D20" s="59">
        <f>'Øko% Alle køkkener'!J22</f>
        <v>3093.8319999999999</v>
      </c>
      <c r="E20" s="59">
        <f>'Øko% Alle køkkener'!K22</f>
        <v>3179.3110000000001</v>
      </c>
      <c r="F20" s="59">
        <f>'Øko% Alle køkkener'!L22</f>
        <v>0</v>
      </c>
      <c r="G20" s="59">
        <f>'Øko% Alle køkkener'!M22</f>
        <v>0</v>
      </c>
      <c r="H20" s="57">
        <f>'Øko% Alle køkkener'!N22</f>
        <v>3081.8319999999999</v>
      </c>
      <c r="I20" s="57">
        <f>'Øko% Alle køkkener'!O22</f>
        <v>3167.3110000000001</v>
      </c>
      <c r="J20" s="57">
        <f>'Øko% Alle køkkener'!P22</f>
        <v>0</v>
      </c>
      <c r="K20" s="57">
        <f>'Øko% Alle køkkener'!Q22</f>
        <v>0</v>
      </c>
      <c r="L20" s="57">
        <f>'Øko% Alle køkkener'!R23</f>
        <v>0</v>
      </c>
      <c r="M20" s="57">
        <f>'Øko% Alle køkkener'!S22</f>
        <v>12</v>
      </c>
      <c r="N20" s="57">
        <f>'Øko% Alle køkkener'!T22</f>
        <v>0</v>
      </c>
      <c r="O20" s="57">
        <f>'Øko% Alle køkkener'!U22</f>
        <v>0</v>
      </c>
    </row>
    <row r="21" spans="1:15" x14ac:dyDescent="0.35">
      <c r="A21" s="57" t="str">
        <f>'Øko% Alle køkkener'!A23</f>
        <v>Kulturhuset Galaksen</v>
      </c>
      <c r="B21" s="59">
        <f>+VLOOKUP(A21,'Øko% Alle køkkener'!$A$5:$H$115,3,FALSE)</f>
        <v>2243447</v>
      </c>
      <c r="C21" s="58">
        <f>'Øko% Alle køkkener'!I23</f>
        <v>6.7924567814623629</v>
      </c>
      <c r="D21" s="57">
        <f>'Øko% Alle køkkener'!J23</f>
        <v>12.974</v>
      </c>
      <c r="E21" s="57">
        <f>'Øko% Alle køkkener'!K23</f>
        <v>191.006</v>
      </c>
      <c r="F21" s="57">
        <f>'Øko% Alle køkkener'!L23</f>
        <v>10.574</v>
      </c>
      <c r="G21" s="57">
        <f>'Øko% Alle køkkener'!M23</f>
        <v>87.040999999999997</v>
      </c>
      <c r="H21" s="57">
        <f>'Øko% Alle køkkener'!N23</f>
        <v>2.4</v>
      </c>
      <c r="I21" s="57">
        <f>'Øko% Alle køkkener'!O23</f>
        <v>103.965</v>
      </c>
      <c r="J21" s="57">
        <f>'Øko% Alle køkkener'!P23</f>
        <v>0</v>
      </c>
      <c r="K21" s="57">
        <f>'Øko% Alle køkkener'!Q23</f>
        <v>0</v>
      </c>
      <c r="L21" s="57">
        <f>'Øko% Alle køkkener'!R23</f>
        <v>0</v>
      </c>
      <c r="M21" s="57">
        <f>'Øko% Alle køkkener'!S23</f>
        <v>0</v>
      </c>
      <c r="N21" s="57">
        <f>'Øko% Alle køkkener'!T23</f>
        <v>0</v>
      </c>
      <c r="O21" s="57">
        <f>'Øko% Alle køkkener'!U23</f>
        <v>0</v>
      </c>
    </row>
    <row r="22" spans="1:15" x14ac:dyDescent="0.35">
      <c r="A22" s="61" t="str">
        <f>'Øko% Alle køkkener'!A25</f>
        <v>Dalgårdens Børnehus</v>
      </c>
      <c r="B22" s="59">
        <f>+VLOOKUP(A22,'Øko% Alle køkkener'!$A$5:$H$115,3,FALSE)</f>
        <v>1017649</v>
      </c>
      <c r="C22" s="61">
        <f>'Øko% Alle køkkener'!I25</f>
        <v>97.556325939786987</v>
      </c>
      <c r="D22" s="61">
        <f>'Øko% Alle køkkener'!J25</f>
        <v>1305.4490000000001</v>
      </c>
      <c r="E22" s="61">
        <f>'Øko% Alle køkkener'!K25</f>
        <v>1338.1489999999999</v>
      </c>
      <c r="F22" s="61">
        <f>'Øko% Alle køkkener'!L25</f>
        <v>0</v>
      </c>
      <c r="G22" s="61">
        <f>'Øko% Alle køkkener'!M25</f>
        <v>0</v>
      </c>
      <c r="H22" s="57">
        <f>'Øko% Alle køkkener'!N25</f>
        <v>1305.4490000000001</v>
      </c>
      <c r="I22" s="57">
        <f>'Øko% Alle køkkener'!O25</f>
        <v>1338.1489999999999</v>
      </c>
      <c r="J22" s="57">
        <f>'Øko% Alle køkkener'!P25</f>
        <v>0</v>
      </c>
      <c r="K22" s="57">
        <f>'Øko% Alle køkkener'!Q25</f>
        <v>0</v>
      </c>
      <c r="L22" s="57">
        <f>'Øko% Alle køkkener'!R25</f>
        <v>0</v>
      </c>
      <c r="M22" s="57">
        <f>'Øko% Alle køkkener'!S25</f>
        <v>0</v>
      </c>
      <c r="N22" s="57">
        <f>'Øko% Alle køkkener'!T25</f>
        <v>0</v>
      </c>
      <c r="O22" s="57">
        <f>'Øko% Alle køkkener'!U25</f>
        <v>0</v>
      </c>
    </row>
    <row r="23" spans="1:15" x14ac:dyDescent="0.35">
      <c r="A23" s="57" t="str">
        <f>'Øko% Alle køkkener'!A28</f>
        <v>Egeskolen, kantine</v>
      </c>
      <c r="B23" s="59">
        <f>+VLOOKUP(A23,'Øko% Alle køkkener'!$A$5:$H$115,3,FALSE)</f>
        <v>1192523</v>
      </c>
      <c r="C23" s="58">
        <f>'Øko% Alle køkkener'!I28</f>
        <v>9.240701199060398</v>
      </c>
      <c r="D23" s="57">
        <f>'Øko% Alle køkkener'!J28</f>
        <v>40.637</v>
      </c>
      <c r="E23" s="57">
        <f>'Øko% Alle køkkener'!K28</f>
        <v>439.76100000000002</v>
      </c>
      <c r="F23" s="57">
        <f>'Øko% Alle køkkener'!L28</f>
        <v>40.637</v>
      </c>
      <c r="G23" s="57">
        <f>'Øko% Alle køkkener'!M28</f>
        <v>439.76100000000002</v>
      </c>
      <c r="H23" s="57" t="str">
        <f>'Øko% Alle køkkener'!N28</f>
        <v>0</v>
      </c>
      <c r="I23" s="57" t="str">
        <f>'Øko% Alle køkkener'!O28</f>
        <v>0</v>
      </c>
      <c r="J23" s="57">
        <f>'Øko% Alle køkkener'!P28</f>
        <v>0</v>
      </c>
      <c r="K23" s="57">
        <f>'Øko% Alle køkkener'!Q28</f>
        <v>0</v>
      </c>
      <c r="L23" s="57">
        <f>'Øko% Alle køkkener'!R28</f>
        <v>0</v>
      </c>
      <c r="M23" s="57">
        <f>'Øko% Alle køkkener'!S28</f>
        <v>0</v>
      </c>
      <c r="N23" s="57">
        <f>'Øko% Alle køkkener'!T28</f>
        <v>0</v>
      </c>
      <c r="O23" s="57">
        <f>'Øko% Alle køkkener'!U28</f>
        <v>0</v>
      </c>
    </row>
    <row r="24" spans="1:15" x14ac:dyDescent="0.35">
      <c r="A24" s="59" t="str">
        <f>'Øko% Alle køkkener'!A33</f>
        <v>Farum Nordby Børnehus</v>
      </c>
      <c r="B24" s="59">
        <f>+VLOOKUP(A24,'Øko% Alle køkkener'!$A$5:$H$115,3,FALSE)</f>
        <v>2248847</v>
      </c>
      <c r="C24" s="60">
        <f>'Øko% Alle køkkener'!I33</f>
        <v>78.399609064010534</v>
      </c>
      <c r="D24" s="59">
        <f>'Øko% Alle køkkener'!J33</f>
        <v>1198.4469999999999</v>
      </c>
      <c r="E24" s="59">
        <f>'Øko% Alle køkkener'!K33</f>
        <v>1528.6389999999999</v>
      </c>
      <c r="F24" s="59">
        <f>'Øko% Alle køkkener'!L33</f>
        <v>0</v>
      </c>
      <c r="G24" s="59">
        <f>'Øko% Alle køkkener'!M33</f>
        <v>0</v>
      </c>
      <c r="H24" s="57">
        <f>'Øko% Alle køkkener'!N33</f>
        <v>1183.4469999999999</v>
      </c>
      <c r="I24" s="57">
        <f>'Øko% Alle køkkener'!O33</f>
        <v>1511.8689999999999</v>
      </c>
      <c r="J24" s="57">
        <f>'Øko% Alle køkkener'!P33</f>
        <v>0</v>
      </c>
      <c r="K24" s="57">
        <f>'Øko% Alle køkkener'!Q33</f>
        <v>0</v>
      </c>
      <c r="L24" s="57">
        <f>'Øko% Alle køkkener'!R33</f>
        <v>15</v>
      </c>
      <c r="M24" s="57">
        <f>'Øko% Alle køkkener'!S33</f>
        <v>16.77</v>
      </c>
      <c r="N24" s="57">
        <f>'Øko% Alle køkkener'!T33</f>
        <v>0</v>
      </c>
      <c r="O24" s="57">
        <f>'Øko% Alle køkkener'!U33</f>
        <v>0</v>
      </c>
    </row>
    <row r="25" spans="1:15" x14ac:dyDescent="0.35">
      <c r="A25" s="57" t="str">
        <f>'Øko% Alle køkkener'!A34</f>
        <v>Farum Vejgaard, BH/VS</v>
      </c>
      <c r="B25" s="59">
        <f>+VLOOKUP(A25,'Øko% Alle køkkener'!$A$5:$H$115,3,FALSE)</f>
        <v>0</v>
      </c>
      <c r="C25" s="57">
        <f>'Øko% Alle køkkener'!I34</f>
        <v>85.504391794442512</v>
      </c>
      <c r="D25" s="57">
        <f>'Øko% Alle køkkener'!J34</f>
        <v>604.71100000000001</v>
      </c>
      <c r="E25" s="57">
        <f>'Øko% Alle køkkener'!K34</f>
        <v>707.22800000000007</v>
      </c>
      <c r="F25" s="57">
        <f>'Øko% Alle køkkener'!L34</f>
        <v>0</v>
      </c>
      <c r="G25" s="57">
        <f>'Øko% Alle køkkener'!M34</f>
        <v>0</v>
      </c>
      <c r="H25" s="57">
        <f>'Øko% Alle køkkener'!N34</f>
        <v>604.71100000000001</v>
      </c>
      <c r="I25" s="57">
        <f>'Øko% Alle køkkener'!O34</f>
        <v>700.85</v>
      </c>
      <c r="J25" s="57">
        <f>'Øko% Alle køkkener'!P34</f>
        <v>0</v>
      </c>
      <c r="K25" s="57">
        <f>'Øko% Alle køkkener'!Q34</f>
        <v>0</v>
      </c>
      <c r="L25" s="57">
        <f>'Øko% Alle køkkener'!R34</f>
        <v>0</v>
      </c>
      <c r="M25" s="57">
        <f>'Øko% Alle køkkener'!S34</f>
        <v>6.3780000000000001</v>
      </c>
      <c r="N25" s="57">
        <f>'Øko% Alle køkkener'!T34</f>
        <v>0</v>
      </c>
      <c r="O25" s="57">
        <f>'Øko% Alle køkkener'!U34</f>
        <v>0</v>
      </c>
    </row>
    <row r="26" spans="1:15" x14ac:dyDescent="0.35">
      <c r="A26" s="57" t="str">
        <f>+'Øko% Alle køkkener'!A35</f>
        <v>Farumsødal</v>
      </c>
      <c r="B26" s="59">
        <f>+VLOOKUP(A26,'Øko% Alle køkkener'!$A$5:$H$115,3,FALSE)</f>
        <v>2164133</v>
      </c>
      <c r="C26" s="58">
        <f>'Øko% Alle køkkener'!I35</f>
        <v>90.410962656943028</v>
      </c>
      <c r="D26" s="57">
        <f>'Øko% Alle køkkener'!J35</f>
        <v>2310.1329999999998</v>
      </c>
      <c r="E26" s="57">
        <f>'Øko% Alle køkkener'!K35</f>
        <v>2555.1469999999999</v>
      </c>
      <c r="F26" s="57">
        <f>'Øko% Alle køkkener'!L35</f>
        <v>176.79900000000001</v>
      </c>
      <c r="G26" s="57">
        <f>'Øko% Alle køkkener'!M35</f>
        <v>205.41200000000001</v>
      </c>
      <c r="H26" s="57">
        <f>'Øko% Alle køkkener'!N35</f>
        <v>2121.3339999999998</v>
      </c>
      <c r="I26" s="57">
        <f>'Øko% Alle køkkener'!O35</f>
        <v>2337.7350000000001</v>
      </c>
      <c r="J26" s="57">
        <f>'Øko% Alle køkkener'!P35</f>
        <v>0</v>
      </c>
      <c r="K26" s="57">
        <f>'Øko% Alle køkkener'!Q35</f>
        <v>0</v>
      </c>
      <c r="L26" s="57">
        <f>'Øko% Alle køkkener'!R35</f>
        <v>12</v>
      </c>
      <c r="M26" s="57">
        <f>'Øko% Alle køkkener'!S35</f>
        <v>12</v>
      </c>
      <c r="N26" s="57">
        <f>'Øko% Alle køkkener'!T35</f>
        <v>0</v>
      </c>
      <c r="O26" s="57">
        <f>'Øko% Alle køkkener'!U35</f>
        <v>0</v>
      </c>
    </row>
    <row r="27" spans="1:15" x14ac:dyDescent="0.35">
      <c r="A27" s="57" t="str">
        <f>+'Øko% Alle køkkener'!A42</f>
        <v>Furesø Skole- og Familiehus (inkl. Rådgivning, vejledn. og støtte)</v>
      </c>
      <c r="B27" s="59">
        <f>+VLOOKUP(A27,'Øko% Alle køkkener'!$A$5:$H$115,3,FALSE)</f>
        <v>1066946</v>
      </c>
      <c r="C27" s="58">
        <f>'Øko% Alle køkkener'!I42</f>
        <v>75.018020607094215</v>
      </c>
      <c r="D27" s="57">
        <f>'Øko% Alle køkkener'!J42</f>
        <v>159.23099999999999</v>
      </c>
      <c r="E27" s="57">
        <f>'Øko% Alle køkkener'!K42</f>
        <v>212.25700000000001</v>
      </c>
      <c r="F27" s="57">
        <f>'Øko% Alle køkkener'!L42</f>
        <v>147.23099999999999</v>
      </c>
      <c r="G27" s="57">
        <f>'Øko% Alle køkkener'!M42</f>
        <v>200.25700000000001</v>
      </c>
      <c r="H27" s="57" t="str">
        <f>'Øko% Alle køkkener'!N42</f>
        <v>0</v>
      </c>
      <c r="I27" s="57" t="str">
        <f>'Øko% Alle køkkener'!O42</f>
        <v>0</v>
      </c>
      <c r="J27" s="57">
        <f>'Øko% Alle køkkener'!P42</f>
        <v>0</v>
      </c>
      <c r="K27" s="57">
        <f>'Øko% Alle køkkener'!Q42</f>
        <v>0</v>
      </c>
      <c r="L27" s="57">
        <f>'Øko% Alle køkkener'!R42</f>
        <v>12</v>
      </c>
      <c r="M27" s="57">
        <f>'Øko% Alle køkkener'!S42</f>
        <v>12</v>
      </c>
      <c r="N27" s="57">
        <f>'Øko% Alle køkkener'!T42</f>
        <v>0</v>
      </c>
      <c r="O27" s="57">
        <f>'Øko% Alle køkkener'!U42</f>
        <v>0</v>
      </c>
    </row>
    <row r="28" spans="1:15" ht="17.5" customHeight="1" x14ac:dyDescent="0.35">
      <c r="A28" s="57" t="str">
        <f>'Øko% Alle køkkener'!A47</f>
        <v>Hareskov Børnehus</v>
      </c>
      <c r="B28" s="59">
        <f>+VLOOKUP(A28,'Øko% Alle køkkener'!$A$5:$H$115,3,FALSE)</f>
        <v>0</v>
      </c>
      <c r="C28" s="58">
        <f>'Øko% Alle køkkener'!I47</f>
        <v>99.120037364567281</v>
      </c>
      <c r="D28" s="57">
        <f>'Øko% Alle køkkener'!J47</f>
        <v>1610.769</v>
      </c>
      <c r="E28" s="57">
        <f>'Øko% Alle køkkener'!K47</f>
        <v>1625.069</v>
      </c>
      <c r="F28" s="57">
        <f>'Øko% Alle køkkener'!L47</f>
        <v>0</v>
      </c>
      <c r="G28" s="57">
        <f>'Øko% Alle køkkener'!M47</f>
        <v>0</v>
      </c>
      <c r="H28" s="57">
        <f>'Øko% Alle køkkener'!N47</f>
        <v>1609.769</v>
      </c>
      <c r="I28" s="57">
        <f>'Øko% Alle køkkener'!O47</f>
        <v>1619.069</v>
      </c>
      <c r="J28" s="57">
        <f>'Øko% Alle køkkener'!P47</f>
        <v>0</v>
      </c>
      <c r="K28" s="57">
        <f>'Øko% Alle køkkener'!Q47</f>
        <v>0</v>
      </c>
      <c r="L28" s="57">
        <f>'Øko% Alle køkkener'!R47</f>
        <v>1</v>
      </c>
      <c r="M28" s="57">
        <f>'Øko% Alle køkkener'!S47</f>
        <v>6</v>
      </c>
      <c r="N28" s="57">
        <f>'Øko% Alle køkkener'!T47</f>
        <v>0</v>
      </c>
      <c r="O28" s="57">
        <f>'Øko% Alle køkkener'!U47</f>
        <v>0</v>
      </c>
    </row>
    <row r="29" spans="1:15" ht="17.5" customHeight="1" x14ac:dyDescent="0.35">
      <c r="A29" s="57" t="str">
        <f>+'Øko% Alle køkkener'!A49</f>
        <v>Hareskov FFO - Gasværket, klub</v>
      </c>
      <c r="B29" s="59">
        <f>+VLOOKUP(A29,'Øko% Alle køkkener'!$A$5:$H$115,3,FALSE)</f>
        <v>1128479</v>
      </c>
      <c r="C29" s="58">
        <f>'Øko% Alle køkkener'!I49</f>
        <v>34.791272992371844</v>
      </c>
      <c r="D29" s="58">
        <f>'Øko% Alle køkkener'!J49</f>
        <v>1099.5419999999999</v>
      </c>
      <c r="E29" s="58">
        <f>'Øko% Alle køkkener'!K49</f>
        <v>3160.3959999999997</v>
      </c>
      <c r="F29" s="58">
        <f>'Øko% Alle køkkener'!L49</f>
        <v>241.72499999999999</v>
      </c>
      <c r="G29" s="58">
        <f>'Øko% Alle køkkener'!M49</f>
        <v>980.47900000000004</v>
      </c>
      <c r="H29" s="58">
        <f>'Øko% Alle køkkener'!N49</f>
        <v>857.81700000000001</v>
      </c>
      <c r="I29" s="58">
        <f>'Øko% Alle køkkener'!O49</f>
        <v>2179.9169999999999</v>
      </c>
      <c r="J29" s="58">
        <f>'Øko% Alle køkkener'!P49</f>
        <v>0</v>
      </c>
      <c r="K29" s="58">
        <f>'Øko% Alle køkkener'!Q49</f>
        <v>0</v>
      </c>
      <c r="L29" s="58">
        <f>'Øko% Alle køkkener'!R49</f>
        <v>0</v>
      </c>
      <c r="M29" s="58">
        <f>'Øko% Alle køkkener'!S49</f>
        <v>0</v>
      </c>
      <c r="N29" s="58">
        <f>'Øko% Alle køkkener'!T49</f>
        <v>0</v>
      </c>
      <c r="O29" s="58">
        <f>'Øko% Alle køkkener'!U49</f>
        <v>0</v>
      </c>
    </row>
    <row r="30" spans="1:15" ht="17.5" customHeight="1" x14ac:dyDescent="0.35">
      <c r="A30" s="57" t="str">
        <f>+'Øko% Alle køkkener'!A58</f>
        <v>Krudthuset</v>
      </c>
      <c r="B30" s="59">
        <f>+VLOOKUP(A30,'Øko% Alle køkkener'!$A$5:$H$115,3,FALSE)</f>
        <v>0</v>
      </c>
      <c r="C30" s="58">
        <f>'Øko% Alle køkkener'!I58</f>
        <v>95.780992921882373</v>
      </c>
      <c r="D30" s="58">
        <f>'Øko% Alle køkkener'!J58</f>
        <v>1698.1289999999999</v>
      </c>
      <c r="E30" s="58">
        <f>'Øko% Alle køkkener'!K58</f>
        <v>1772.9290000000001</v>
      </c>
      <c r="F30" s="58">
        <f>'Øko% Alle køkkener'!L58</f>
        <v>0</v>
      </c>
      <c r="G30" s="58">
        <f>'Øko% Alle køkkener'!M58</f>
        <v>0</v>
      </c>
      <c r="H30" s="58">
        <f>'Øko% Alle køkkener'!N58</f>
        <v>1698.1289999999999</v>
      </c>
      <c r="I30" s="58">
        <f>'Øko% Alle køkkener'!O58</f>
        <v>1772.9290000000001</v>
      </c>
      <c r="J30" s="58">
        <f>'Øko% Alle køkkener'!P58</f>
        <v>0</v>
      </c>
      <c r="K30" s="58">
        <f>'Øko% Alle køkkener'!Q58</f>
        <v>0</v>
      </c>
      <c r="L30" s="58">
        <f>'Øko% Alle køkkener'!R58</f>
        <v>0</v>
      </c>
      <c r="M30" s="58">
        <f>'Øko% Alle køkkener'!S58</f>
        <v>0</v>
      </c>
      <c r="N30" s="58">
        <f>'Øko% Alle køkkener'!T58</f>
        <v>0</v>
      </c>
      <c r="O30" s="58">
        <f>'Øko% Alle køkkener'!U58</f>
        <v>0</v>
      </c>
    </row>
    <row r="31" spans="1:15" x14ac:dyDescent="0.35">
      <c r="A31" s="57" t="str">
        <f>'Øko% Alle køkkener'!A61</f>
        <v>Lille Værløse Skole, kantinen</v>
      </c>
      <c r="B31" s="59">
        <f>+VLOOKUP(A31,'Øko% Alle køkkener'!$A$5:$H$115,3,FALSE)</f>
        <v>0</v>
      </c>
      <c r="C31" s="58">
        <f>'Øko% Alle køkkener'!I61</f>
        <v>26.050507086588521</v>
      </c>
      <c r="D31" s="57">
        <f>'Øko% Alle køkkener'!J61</f>
        <v>639.721</v>
      </c>
      <c r="E31" s="57">
        <f>'Øko% Alle køkkener'!K61</f>
        <v>2455.6950000000002</v>
      </c>
      <c r="F31" s="57">
        <f>'Øko% Alle køkkener'!L61</f>
        <v>0</v>
      </c>
      <c r="G31" s="57">
        <f>'Øko% Alle køkkener'!M61</f>
        <v>0</v>
      </c>
      <c r="H31" s="57">
        <f>'Øko% Alle køkkener'!N61</f>
        <v>639.721</v>
      </c>
      <c r="I31" s="57">
        <f>'Øko% Alle køkkener'!O61</f>
        <v>2455.6950000000002</v>
      </c>
      <c r="J31" s="57">
        <f>'Øko% Alle køkkener'!P61</f>
        <v>0</v>
      </c>
      <c r="K31" s="57">
        <f>'Øko% Alle køkkener'!Q61</f>
        <v>0</v>
      </c>
      <c r="L31" s="57">
        <f>'Øko% Alle køkkener'!R61</f>
        <v>0</v>
      </c>
      <c r="M31" s="57">
        <f>'Øko% Alle køkkener'!S61</f>
        <v>0</v>
      </c>
      <c r="N31" s="57">
        <f>'Øko% Alle køkkener'!T61</f>
        <v>0</v>
      </c>
      <c r="O31" s="57">
        <f>'Øko% Alle køkkener'!U61</f>
        <v>0</v>
      </c>
    </row>
    <row r="32" spans="1:15" x14ac:dyDescent="0.35">
      <c r="A32" s="57" t="str">
        <f>'Øko% Alle køkkener'!A66</f>
        <v>Lillestjernen FFO</v>
      </c>
      <c r="B32" s="59">
        <f>+VLOOKUP(A32,'Øko% Alle køkkener'!$A$5:$H$115,3,FALSE)</f>
        <v>2162953</v>
      </c>
      <c r="C32" s="58">
        <f>'Øko% Alle køkkener'!I66</f>
        <v>87.556581851253867</v>
      </c>
      <c r="D32" s="58">
        <f>'Øko% Alle køkkener'!J66</f>
        <v>419.74099999999999</v>
      </c>
      <c r="E32" s="58">
        <f>'Øko% Alle køkkener'!K66</f>
        <v>479.39400000000001</v>
      </c>
      <c r="F32" s="58">
        <f>'Øko% Alle køkkener'!L66</f>
        <v>58.917000000000002</v>
      </c>
      <c r="G32" s="58">
        <f>'Øko% Alle køkkener'!M66</f>
        <v>68.494</v>
      </c>
      <c r="H32" s="58">
        <f>'Øko% Alle køkkener'!N66</f>
        <v>360.82400000000001</v>
      </c>
      <c r="I32" s="58">
        <f>'Øko% Alle køkkener'!O66</f>
        <v>410.9</v>
      </c>
      <c r="J32" s="58">
        <f>'Øko% Alle køkkener'!P66</f>
        <v>0</v>
      </c>
      <c r="K32" s="58">
        <f>'Øko% Alle køkkener'!Q66</f>
        <v>0</v>
      </c>
      <c r="L32" s="58">
        <f>'Øko% Alle køkkener'!R66</f>
        <v>0</v>
      </c>
      <c r="M32" s="58">
        <f>'Øko% Alle køkkener'!S66</f>
        <v>0</v>
      </c>
      <c r="N32" s="58">
        <f>'Øko% Alle køkkener'!T66</f>
        <v>0</v>
      </c>
      <c r="O32" s="58">
        <f>'Øko% Alle køkkener'!U66</f>
        <v>0</v>
      </c>
    </row>
    <row r="33" spans="1:15" x14ac:dyDescent="0.35">
      <c r="A33" s="57" t="str">
        <f>'Øko% Alle køkkener'!A68</f>
        <v>Lillevang - Blommehaven</v>
      </c>
      <c r="B33" s="59">
        <f>+VLOOKUP(A33,'Øko% Alle køkkener'!$A$5:$H$115,3,FALSE)</f>
        <v>0</v>
      </c>
      <c r="C33" s="58">
        <f>'Øko% Alle køkkener'!I68</f>
        <v>71.6145222376947</v>
      </c>
      <c r="D33" s="58">
        <f>'Øko% Alle køkkener'!J68</f>
        <v>1468.2660000000001</v>
      </c>
      <c r="E33" s="58">
        <f>'Øko% Alle køkkener'!K68</f>
        <v>2050.2350000000001</v>
      </c>
      <c r="F33" s="58">
        <f>'Øko% Alle køkkener'!L68</f>
        <v>0</v>
      </c>
      <c r="G33" s="58">
        <f>'Øko% Alle køkkener'!M68</f>
        <v>0</v>
      </c>
      <c r="H33" s="58">
        <f>'Øko% Alle køkkener'!N68</f>
        <v>1420.2660000000001</v>
      </c>
      <c r="I33" s="58">
        <f>'Øko% Alle køkkener'!O68</f>
        <v>1981.377</v>
      </c>
      <c r="J33" s="58">
        <f>'Øko% Alle køkkener'!P68</f>
        <v>0</v>
      </c>
      <c r="K33" s="58">
        <f>'Øko% Alle køkkener'!Q68</f>
        <v>0</v>
      </c>
      <c r="L33" s="58">
        <f>'Øko% Alle køkkener'!R68</f>
        <v>48</v>
      </c>
      <c r="M33" s="58">
        <f>'Øko% Alle køkkener'!S68</f>
        <v>68.858000000000004</v>
      </c>
      <c r="N33" s="58">
        <f>'Øko% Alle køkkener'!T68</f>
        <v>0</v>
      </c>
      <c r="O33" s="58">
        <f>'Øko% Alle køkkener'!U68</f>
        <v>0</v>
      </c>
    </row>
    <row r="34" spans="1:15" x14ac:dyDescent="0.35">
      <c r="A34" s="57" t="str">
        <f>'Øko% Alle køkkener'!A69</f>
        <v xml:space="preserve">Lillevang - Kornelhaven </v>
      </c>
      <c r="B34" s="59">
        <f>+VLOOKUP(A34,'Øko% Alle køkkener'!$A$5:$H$115,3,FALSE)</f>
        <v>0</v>
      </c>
      <c r="C34" s="58">
        <f>'Øko% Alle køkkener'!I69</f>
        <v>52.103350297304289</v>
      </c>
      <c r="D34" s="58">
        <f>'Øko% Alle køkkener'!J69</f>
        <v>848.83600000000001</v>
      </c>
      <c r="E34" s="58">
        <f>'Øko% Alle køkkener'!K69</f>
        <v>1629.1389999999999</v>
      </c>
      <c r="F34" s="58">
        <f>'Øko% Alle køkkener'!L69</f>
        <v>0</v>
      </c>
      <c r="G34" s="58">
        <f>'Øko% Alle køkkener'!M69</f>
        <v>0</v>
      </c>
      <c r="H34" s="58">
        <f>'Øko% Alle køkkener'!N69</f>
        <v>828.83600000000001</v>
      </c>
      <c r="I34" s="58">
        <f>'Øko% Alle køkkener'!O69</f>
        <v>1608.1389999999999</v>
      </c>
      <c r="J34" s="58">
        <f>'Øko% Alle køkkener'!P69</f>
        <v>0</v>
      </c>
      <c r="K34" s="58">
        <f>'Øko% Alle køkkener'!Q69</f>
        <v>0</v>
      </c>
      <c r="L34" s="58">
        <f>'Øko% Alle køkkener'!R69</f>
        <v>20</v>
      </c>
      <c r="M34" s="58">
        <f>'Øko% Alle køkkener'!S69</f>
        <v>21</v>
      </c>
      <c r="N34" s="58">
        <f>'Øko% Alle køkkener'!T69</f>
        <v>0</v>
      </c>
      <c r="O34" s="58">
        <f>'Øko% Alle køkkener'!U69</f>
        <v>0</v>
      </c>
    </row>
    <row r="35" spans="1:15" x14ac:dyDescent="0.35">
      <c r="A35" s="57" t="str">
        <f>'Øko% Alle køkkener'!A70</f>
        <v>Lillevang - Køkken</v>
      </c>
      <c r="B35" s="59">
        <f>+VLOOKUP(A35,'Øko% Alle køkkener'!$A$5:$H$115,3,FALSE)</f>
        <v>0</v>
      </c>
      <c r="C35" s="58">
        <f>'Øko% Alle køkkener'!I70</f>
        <v>40.849033990425774</v>
      </c>
      <c r="D35" s="58">
        <f>'Øko% Alle køkkener'!J70</f>
        <v>10388.575999999999</v>
      </c>
      <c r="E35" s="58">
        <f>'Øko% Alle køkkener'!K70</f>
        <v>25431.632000000001</v>
      </c>
      <c r="F35" s="58">
        <f>'Øko% Alle køkkener'!L70</f>
        <v>0</v>
      </c>
      <c r="G35" s="58">
        <f>'Øko% Alle køkkener'!M70</f>
        <v>0</v>
      </c>
      <c r="H35" s="58">
        <f>'Øko% Alle køkkener'!N70</f>
        <v>10388.575999999999</v>
      </c>
      <c r="I35" s="58">
        <f>'Øko% Alle køkkener'!O70</f>
        <v>25360.632000000001</v>
      </c>
      <c r="J35" s="58">
        <f>'Øko% Alle køkkener'!P70</f>
        <v>0</v>
      </c>
      <c r="K35" s="58">
        <f>'Øko% Alle køkkener'!Q70</f>
        <v>0</v>
      </c>
      <c r="L35" s="58">
        <f>'Øko% Alle køkkener'!R70</f>
        <v>0</v>
      </c>
      <c r="M35" s="58">
        <f>'Øko% Alle køkkener'!S70</f>
        <v>71</v>
      </c>
      <c r="N35" s="127">
        <f>'Øko% Alle køkkener'!T70</f>
        <v>0</v>
      </c>
      <c r="O35" s="127">
        <f>'Øko% Alle køkkener'!U70</f>
        <v>0</v>
      </c>
    </row>
    <row r="36" spans="1:15" x14ac:dyDescent="0.35">
      <c r="A36" s="57" t="str">
        <f>'Øko% Alle køkkener'!A71</f>
        <v>Lillevang - Magnoliehaven</v>
      </c>
      <c r="B36" s="59">
        <f>+VLOOKUP(A36,'Øko% Alle køkkener'!$A$5:$H$115,3,FALSE)</f>
        <v>0</v>
      </c>
      <c r="C36" s="58">
        <f>'Øko% Alle køkkener'!I71</f>
        <v>53.384022274576992</v>
      </c>
      <c r="D36" s="58">
        <f>'Øko% Alle køkkener'!J71</f>
        <v>907.27</v>
      </c>
      <c r="E36" s="58">
        <f>'Øko% Alle køkkener'!K71</f>
        <v>1699.5160000000001</v>
      </c>
      <c r="F36" s="58">
        <f>'Øko% Alle køkkener'!L71</f>
        <v>0</v>
      </c>
      <c r="G36" s="58">
        <f>'Øko% Alle køkkener'!M71</f>
        <v>0</v>
      </c>
      <c r="H36" s="58">
        <f>'Øko% Alle køkkener'!N71</f>
        <v>907.27</v>
      </c>
      <c r="I36" s="58">
        <f>'Øko% Alle køkkener'!O71</f>
        <v>1658.5160000000001</v>
      </c>
      <c r="J36" s="58">
        <f>'Øko% Alle køkkener'!P71</f>
        <v>0</v>
      </c>
      <c r="K36" s="58">
        <f>'Øko% Alle køkkener'!Q71</f>
        <v>0</v>
      </c>
      <c r="L36" s="58">
        <f>'Øko% Alle køkkener'!R71</f>
        <v>0</v>
      </c>
      <c r="M36" s="58">
        <f>'Øko% Alle køkkener'!S71</f>
        <v>41</v>
      </c>
      <c r="N36" s="58">
        <f>'Øko% Alle køkkener'!T71</f>
        <v>0</v>
      </c>
      <c r="O36" s="58">
        <f>'Øko% Alle køkkener'!U71</f>
        <v>0</v>
      </c>
    </row>
    <row r="37" spans="1:15" x14ac:dyDescent="0.35">
      <c r="A37" s="57" t="str">
        <f>'Øko% Alle køkkener'!A72</f>
        <v>Lillevang - Syrenhaven</v>
      </c>
      <c r="B37" s="59">
        <f>+VLOOKUP(A37,'Øko% Alle køkkener'!$A$5:$H$115,3,FALSE)</f>
        <v>0</v>
      </c>
      <c r="C37" s="58">
        <f>'Øko% Alle køkkener'!I72</f>
        <v>25.671591979620953</v>
      </c>
      <c r="D37" s="58">
        <f>'Øko% Alle køkkener'!J72</f>
        <v>364.60899999999998</v>
      </c>
      <c r="E37" s="58">
        <f>'Øko% Alle køkkener'!K72</f>
        <v>1420.2819999999999</v>
      </c>
      <c r="F37" s="58">
        <f>'Øko% Alle køkkener'!L72</f>
        <v>0</v>
      </c>
      <c r="G37" s="58">
        <f>'Øko% Alle køkkener'!M72</f>
        <v>0</v>
      </c>
      <c r="H37" s="58">
        <f>'Øko% Alle køkkener'!N72</f>
        <v>304.60899999999998</v>
      </c>
      <c r="I37" s="58">
        <f>'Øko% Alle køkkener'!O72</f>
        <v>1359.2819999999999</v>
      </c>
      <c r="J37" s="58">
        <f>'Øko% Alle køkkener'!P72</f>
        <v>0</v>
      </c>
      <c r="K37" s="58">
        <f>'Øko% Alle køkkener'!Q72</f>
        <v>0</v>
      </c>
      <c r="L37" s="58">
        <f>'Øko% Alle køkkener'!R72</f>
        <v>60</v>
      </c>
      <c r="M37" s="58">
        <f>'Øko% Alle køkkener'!S72</f>
        <v>61</v>
      </c>
      <c r="N37" s="58">
        <f>'Øko% Alle køkkener'!T72</f>
        <v>0</v>
      </c>
      <c r="O37" s="58">
        <f>'Øko% Alle køkkener'!U72</f>
        <v>0</v>
      </c>
    </row>
    <row r="38" spans="1:15" x14ac:dyDescent="0.35">
      <c r="A38" s="57" t="str">
        <f>'Øko% Alle køkkener'!A73</f>
        <v>Lillevang - Rosenhaven</v>
      </c>
      <c r="B38" s="59">
        <f>+VLOOKUP(A38,'Øko% Alle køkkener'!$A$5:$H$115,3,FALSE)</f>
        <v>0</v>
      </c>
      <c r="C38" s="58">
        <f>'Øko% Alle køkkener'!I73</f>
        <v>19.135513089465956</v>
      </c>
      <c r="D38" s="58">
        <f>'Øko% Alle køkkener'!J73</f>
        <v>611.053</v>
      </c>
      <c r="E38" s="58">
        <f>'Øko% Alle køkkener'!K73</f>
        <v>3193.2929999999997</v>
      </c>
      <c r="F38" s="58">
        <f>'Øko% Alle køkkener'!L73</f>
        <v>0</v>
      </c>
      <c r="G38" s="58">
        <f>'Øko% Alle køkkener'!M73</f>
        <v>0</v>
      </c>
      <c r="H38" s="58">
        <f>'Øko% Alle køkkener'!N73</f>
        <v>611.053</v>
      </c>
      <c r="I38" s="58">
        <f>'Øko% Alle køkkener'!O73</f>
        <v>3070.0609999999997</v>
      </c>
      <c r="J38" s="58">
        <f>'Øko% Alle køkkener'!P73</f>
        <v>0</v>
      </c>
      <c r="K38" s="58">
        <f>'Øko% Alle køkkener'!Q73</f>
        <v>0</v>
      </c>
      <c r="L38" s="58">
        <f>'Øko% Alle køkkener'!R73</f>
        <v>0</v>
      </c>
      <c r="M38" s="58">
        <f>'Øko% Alle køkkener'!S73</f>
        <v>123.232</v>
      </c>
      <c r="N38" s="58">
        <f>'Øko% Alle køkkener'!T73</f>
        <v>0</v>
      </c>
      <c r="O38" s="58">
        <f>'Øko% Alle køkkener'!U73</f>
        <v>0</v>
      </c>
    </row>
    <row r="39" spans="1:15" x14ac:dyDescent="0.35">
      <c r="A39" s="57" t="str">
        <f>'Øko% Alle køkkener'!A75</f>
        <v>Lyngholmskolen, kantinen</v>
      </c>
      <c r="B39" s="59">
        <f>+VLOOKUP(A39,'Øko% Alle køkkener'!$A$5:$H$115,3,FALSE)</f>
        <v>0</v>
      </c>
      <c r="C39" s="58">
        <f>'Øko% Alle køkkener'!I75</f>
        <v>68.828253807010697</v>
      </c>
      <c r="D39" s="58">
        <f>'Øko% Alle køkkener'!J75</f>
        <v>947.22199999999998</v>
      </c>
      <c r="E39" s="58">
        <f>'Øko% Alle køkkener'!K75</f>
        <v>1376.211</v>
      </c>
      <c r="F39" s="58">
        <f>'Øko% Alle køkkener'!L75</f>
        <v>0</v>
      </c>
      <c r="G39" s="58">
        <f>'Øko% Alle køkkener'!M75</f>
        <v>0</v>
      </c>
      <c r="H39" s="58">
        <f>'Øko% Alle køkkener'!N75</f>
        <v>947.22199999999998</v>
      </c>
      <c r="I39" s="58">
        <f>'Øko% Alle køkkener'!O75</f>
        <v>1376.211</v>
      </c>
      <c r="J39" s="58">
        <f>'Øko% Alle køkkener'!P75</f>
        <v>0</v>
      </c>
      <c r="K39" s="58">
        <f>'Øko% Alle køkkener'!Q75</f>
        <v>0</v>
      </c>
      <c r="L39" s="58">
        <f>'Øko% Alle køkkener'!R75</f>
        <v>0</v>
      </c>
      <c r="M39" s="58">
        <f>'Øko% Alle køkkener'!S75</f>
        <v>0</v>
      </c>
      <c r="N39" s="58">
        <f>'Øko% Alle køkkener'!T75</f>
        <v>0</v>
      </c>
      <c r="O39" s="58">
        <f>'Øko% Alle køkkener'!U75</f>
        <v>0</v>
      </c>
    </row>
    <row r="40" spans="1:15" x14ac:dyDescent="0.35">
      <c r="A40" s="57" t="str">
        <f>'Øko% Alle køkkener'!A78</f>
        <v>Lynghuset</v>
      </c>
      <c r="B40" s="59">
        <f>+VLOOKUP(A40,'Øko% Alle køkkener'!$A$5:$H$115,3,FALSE)</f>
        <v>1043650</v>
      </c>
      <c r="C40" s="58">
        <f>'Øko% Alle køkkener'!I78</f>
        <v>79.027069504069601</v>
      </c>
      <c r="D40" s="58">
        <f>'Øko% Alle køkkener'!J78</f>
        <v>762.2879999999999</v>
      </c>
      <c r="E40" s="58">
        <f>'Øko% Alle køkkener'!K78</f>
        <v>964.59099999999989</v>
      </c>
      <c r="F40" s="58">
        <f>'Øko% Alle køkkener'!L78</f>
        <v>683.18799999999999</v>
      </c>
      <c r="G40" s="58">
        <f>'Øko% Alle køkkener'!M78</f>
        <v>879.49099999999999</v>
      </c>
      <c r="H40" s="58" t="str">
        <f>'Øko% Alle køkkener'!N78</f>
        <v>0</v>
      </c>
      <c r="I40" s="58" t="str">
        <f>'Øko% Alle køkkener'!O78</f>
        <v>0</v>
      </c>
      <c r="J40" s="58">
        <f>'Øko% Alle køkkener'!P78</f>
        <v>0</v>
      </c>
      <c r="K40" s="58">
        <f>'Øko% Alle køkkener'!Q78</f>
        <v>0</v>
      </c>
      <c r="L40" s="58">
        <f>'Øko% Alle køkkener'!R78</f>
        <v>12.8</v>
      </c>
      <c r="M40" s="58">
        <f>'Øko% Alle køkkener'!S78</f>
        <v>15.18</v>
      </c>
      <c r="N40" s="58">
        <f>'Øko% Alle køkkener'!T78</f>
        <v>66.3</v>
      </c>
      <c r="O40" s="58">
        <f>'Øko% Alle køkkener'!U78</f>
        <v>69.92</v>
      </c>
    </row>
    <row r="41" spans="1:15" x14ac:dyDescent="0.35">
      <c r="A41" s="57" t="str">
        <f>'Øko% Alle køkkener'!A80</f>
        <v>Nordvænget Vuggestue</v>
      </c>
      <c r="B41" s="59">
        <f>+VLOOKUP(A41,'Øko% Alle køkkener'!$A$5:$H$115,3,FALSE)</f>
        <v>0</v>
      </c>
      <c r="C41" s="58">
        <f>'Øko% Alle køkkener'!I80</f>
        <v>99.565781450150823</v>
      </c>
      <c r="D41" s="58">
        <f>'Øko% Alle køkkener'!J80</f>
        <v>1216.43</v>
      </c>
      <c r="E41" s="58">
        <f>'Øko% Alle køkkener'!K80</f>
        <v>1221.7349999999999</v>
      </c>
      <c r="F41" s="58">
        <f>'Øko% Alle køkkener'!L80</f>
        <v>0</v>
      </c>
      <c r="G41" s="58">
        <f>'Øko% Alle køkkener'!M80</f>
        <v>0</v>
      </c>
      <c r="H41" s="58">
        <f>'Øko% Alle køkkener'!N80</f>
        <v>1204.43</v>
      </c>
      <c r="I41" s="58">
        <f>'Øko% Alle køkkener'!O80</f>
        <v>1209.7349999999999</v>
      </c>
      <c r="J41" s="58">
        <f>'Øko% Alle køkkener'!P80</f>
        <v>0</v>
      </c>
      <c r="K41" s="58">
        <f>'Øko% Alle køkkener'!Q80</f>
        <v>0</v>
      </c>
      <c r="L41" s="58">
        <f>'Øko% Alle køkkener'!R80</f>
        <v>12</v>
      </c>
      <c r="M41" s="58">
        <f>'Øko% Alle køkkener'!S80</f>
        <v>12</v>
      </c>
      <c r="N41" s="58">
        <f>'Øko% Alle køkkener'!T80</f>
        <v>0</v>
      </c>
      <c r="O41" s="58">
        <f>'Øko% Alle køkkener'!U80</f>
        <v>0</v>
      </c>
    </row>
    <row r="42" spans="1:15" x14ac:dyDescent="0.35">
      <c r="A42" s="57" t="str">
        <f>'Øko% Alle køkkener'!A81</f>
        <v>Paletten (Valhalla)</v>
      </c>
      <c r="B42" s="59">
        <f>+VLOOKUP(A42,'Øko% Alle køkkener'!$A$5:$H$115,3,FALSE)</f>
        <v>0</v>
      </c>
      <c r="C42" s="58">
        <f>'Øko% Alle køkkener'!I81</f>
        <v>89.181762902309117</v>
      </c>
      <c r="D42" s="58">
        <f>'Øko% Alle køkkener'!J81</f>
        <v>1526.7570000000001</v>
      </c>
      <c r="E42" s="58">
        <f>'Øko% Alle køkkener'!K81</f>
        <v>1711.961</v>
      </c>
      <c r="F42" s="58">
        <f>'Øko% Alle køkkener'!L81</f>
        <v>0</v>
      </c>
      <c r="G42" s="58">
        <f>'Øko% Alle køkkener'!M81</f>
        <v>0</v>
      </c>
      <c r="H42" s="58">
        <f>'Øko% Alle køkkener'!N81</f>
        <v>1526.7570000000001</v>
      </c>
      <c r="I42" s="58">
        <f>'Øko% Alle køkkener'!O81</f>
        <v>1691.6010000000001</v>
      </c>
      <c r="J42" s="58">
        <f>'Øko% Alle køkkener'!P81</f>
        <v>0</v>
      </c>
      <c r="K42" s="58">
        <f>'Øko% Alle køkkener'!Q81</f>
        <v>0</v>
      </c>
      <c r="L42" s="58">
        <f>'Øko% Alle køkkener'!R81</f>
        <v>0</v>
      </c>
      <c r="M42" s="58">
        <f>'Øko% Alle køkkener'!S81</f>
        <v>20.36</v>
      </c>
      <c r="N42" s="58">
        <f>'Øko% Alle køkkener'!T81</f>
        <v>0</v>
      </c>
      <c r="O42" s="58">
        <f>'Øko% Alle køkkener'!U81</f>
        <v>0</v>
      </c>
    </row>
    <row r="43" spans="1:15" x14ac:dyDescent="0.35">
      <c r="A43" s="57" t="str">
        <f>'Øko% Alle køkkener'!A82</f>
        <v>Plejecenteret Solbjerghaven</v>
      </c>
      <c r="B43" s="59">
        <f>+VLOOKUP(A43,'Øko% Alle køkkener'!$A$5:$H$115,3,FALSE)</f>
        <v>2174467</v>
      </c>
      <c r="C43" s="58">
        <f>'Øko% Alle køkkener'!I82</f>
        <v>30.729277615684172</v>
      </c>
      <c r="D43" s="57">
        <f>'Øko% Alle køkkener'!J82</f>
        <v>256.77199999999999</v>
      </c>
      <c r="E43" s="57">
        <f>'Øko% Alle køkkener'!K82</f>
        <v>835.59400000000005</v>
      </c>
      <c r="F43" s="57">
        <f>'Øko% Alle køkkener'!L82</f>
        <v>236.77199999999999</v>
      </c>
      <c r="G43" s="57">
        <f>'Øko% Alle køkkener'!M82</f>
        <v>795.59400000000005</v>
      </c>
      <c r="H43" s="57" t="str">
        <f>'Øko% Alle køkkener'!N82</f>
        <v>0</v>
      </c>
      <c r="I43" s="57" t="str">
        <f>'Øko% Alle køkkener'!O82</f>
        <v>0</v>
      </c>
      <c r="J43" s="57">
        <f>'Øko% Alle køkkener'!P82</f>
        <v>0</v>
      </c>
      <c r="K43" s="57">
        <f>'Øko% Alle køkkener'!Q82</f>
        <v>0</v>
      </c>
      <c r="L43" s="57">
        <f>'Øko% Alle køkkener'!R82</f>
        <v>20</v>
      </c>
      <c r="M43" s="57">
        <f>'Øko% Alle køkkener'!S82</f>
        <v>40</v>
      </c>
      <c r="N43" s="57">
        <f>'Øko% Alle køkkener'!T82</f>
        <v>0</v>
      </c>
      <c r="O43" s="57">
        <f>'Øko% Alle køkkener'!U82</f>
        <v>0</v>
      </c>
    </row>
    <row r="44" spans="1:15" x14ac:dyDescent="0.35">
      <c r="A44" s="57" t="str">
        <f>'Øko% Alle køkkener'!A83</f>
        <v>Ryet Børnehus</v>
      </c>
      <c r="B44" s="59">
        <f>+VLOOKUP(A44,'Øko% Alle køkkener'!$A$5:$H$115,3,FALSE)</f>
        <v>0</v>
      </c>
      <c r="C44" s="58">
        <f>'Øko% Alle køkkener'!I83</f>
        <v>94.167403276431202</v>
      </c>
      <c r="D44" s="58">
        <f>'Øko% Alle køkkener'!J83</f>
        <v>1392.3789999999999</v>
      </c>
      <c r="E44" s="58">
        <f>'Øko% Alle køkkener'!K83</f>
        <v>1478.6210000000001</v>
      </c>
      <c r="F44" s="58">
        <f>'Øko% Alle køkkener'!L83</f>
        <v>0</v>
      </c>
      <c r="G44" s="58">
        <f>'Øko% Alle køkkener'!M83</f>
        <v>0</v>
      </c>
      <c r="H44" s="58">
        <f>'Øko% Alle køkkener'!N83</f>
        <v>1392.3789999999999</v>
      </c>
      <c r="I44" s="58">
        <f>'Øko% Alle køkkener'!O83</f>
        <v>1478.6210000000001</v>
      </c>
      <c r="J44" s="58">
        <f>'Øko% Alle køkkener'!P83</f>
        <v>0</v>
      </c>
      <c r="K44" s="58">
        <f>'Øko% Alle køkkener'!Q83</f>
        <v>0</v>
      </c>
      <c r="L44" s="58">
        <f>'Øko% Alle køkkener'!R83</f>
        <v>0</v>
      </c>
      <c r="M44" s="58">
        <f>'Øko% Alle køkkener'!S83</f>
        <v>0</v>
      </c>
      <c r="N44" s="58">
        <f>'Øko% Alle køkkener'!T83</f>
        <v>0</v>
      </c>
      <c r="O44" s="58">
        <f>'Øko% Alle køkkener'!U83</f>
        <v>0</v>
      </c>
    </row>
    <row r="45" spans="1:15" x14ac:dyDescent="0.35">
      <c r="A45" s="57" t="str">
        <f>'Øko% Alle køkkener'!A86</f>
        <v>Rådhuset Furesø Kommune + frugtordning</v>
      </c>
      <c r="B45" s="59">
        <f>+VLOOKUP(A45,'Øko% Alle køkkener'!$A$5:$H$115,3,FALSE)</f>
        <v>0</v>
      </c>
      <c r="C45" s="58">
        <f>'Øko% Alle køkkener'!I86</f>
        <v>80.24765884789494</v>
      </c>
      <c r="D45" s="57">
        <f>'Øko% Alle køkkener'!J86</f>
        <v>9136.5329999999994</v>
      </c>
      <c r="E45" s="57">
        <f>'Øko% Alle køkkener'!K86</f>
        <v>11385.42</v>
      </c>
      <c r="F45" s="57">
        <f>'Øko% Alle køkkener'!L86</f>
        <v>0</v>
      </c>
      <c r="G45" s="57">
        <f>'Øko% Alle køkkener'!M86</f>
        <v>0</v>
      </c>
      <c r="H45" s="57">
        <f>'Øko% Alle køkkener'!N86</f>
        <v>8837.5329999999994</v>
      </c>
      <c r="I45" s="57">
        <f>'Øko% Alle køkkener'!O86</f>
        <v>10711.412</v>
      </c>
      <c r="J45" s="57">
        <f>'Øko% Alle køkkener'!P86</f>
        <v>10</v>
      </c>
      <c r="K45" s="57">
        <f>'Øko% Alle køkkener'!Q86</f>
        <v>252.00800000000001</v>
      </c>
      <c r="L45" s="57">
        <f>'Øko% Alle køkkener'!R86</f>
        <v>289</v>
      </c>
      <c r="M45" s="57">
        <f>'Øko% Alle køkkener'!S86</f>
        <v>422</v>
      </c>
      <c r="N45" s="57">
        <f>'Øko% Alle køkkener'!T86</f>
        <v>0</v>
      </c>
      <c r="O45" s="57">
        <f>'Øko% Alle køkkener'!U86</f>
        <v>0</v>
      </c>
    </row>
    <row r="46" spans="1:15" x14ac:dyDescent="0.35">
      <c r="A46" s="57" t="str">
        <f>'Øko% Alle køkkener'!A89</f>
        <v>Skovgården</v>
      </c>
      <c r="B46" s="59">
        <f>+VLOOKUP(A46,'Øko% Alle køkkener'!$A$5:$H$115,3,FALSE)</f>
        <v>0</v>
      </c>
      <c r="C46" s="58">
        <f>'Øko% Alle køkkener'!I89</f>
        <v>56.720573870573872</v>
      </c>
      <c r="D46" s="58">
        <f>'Øko% Alle køkkener'!J89</f>
        <v>929.08299999999997</v>
      </c>
      <c r="E46" s="58">
        <f>'Øko% Alle køkkener'!K89</f>
        <v>1638</v>
      </c>
      <c r="F46" s="58">
        <f>'Øko% Alle køkkener'!L89</f>
        <v>0</v>
      </c>
      <c r="G46" s="58">
        <f>'Øko% Alle køkkener'!M89</f>
        <v>0</v>
      </c>
      <c r="H46" s="58">
        <f>'Øko% Alle køkkener'!N89</f>
        <v>929.08299999999997</v>
      </c>
      <c r="I46" s="58">
        <f>'Øko% Alle køkkener'!O89</f>
        <v>1638</v>
      </c>
      <c r="J46" s="58">
        <f>'Øko% Alle køkkener'!P89</f>
        <v>0</v>
      </c>
      <c r="K46" s="58">
        <f>'Øko% Alle køkkener'!Q89</f>
        <v>0</v>
      </c>
      <c r="L46" s="58">
        <f>'Øko% Alle køkkener'!R89</f>
        <v>0</v>
      </c>
      <c r="M46" s="58">
        <f>'Øko% Alle køkkener'!S89</f>
        <v>0</v>
      </c>
      <c r="N46" s="58">
        <f>'Øko% Alle køkkener'!T89</f>
        <v>0</v>
      </c>
      <c r="O46" s="58">
        <f>'Øko% Alle køkkener'!U89</f>
        <v>0</v>
      </c>
    </row>
    <row r="47" spans="1:15" x14ac:dyDescent="0.35">
      <c r="A47" s="57" t="str">
        <f>'Øko% Alle køkkener'!A91</f>
        <v>Solstrålen</v>
      </c>
      <c r="B47" s="59">
        <f>+VLOOKUP(A47,'Øko% Alle køkkener'!$A$5:$H$115,3,FALSE)</f>
        <v>0</v>
      </c>
      <c r="C47" s="58">
        <f>'Øko% Alle køkkener'!I91</f>
        <v>91.534960331768247</v>
      </c>
      <c r="D47" s="58">
        <f>'Øko% Alle køkkener'!J91</f>
        <v>1375.97</v>
      </c>
      <c r="E47" s="58">
        <f>'Øko% Alle køkkener'!K91</f>
        <v>1503.2180000000001</v>
      </c>
      <c r="F47" s="58">
        <f>'Øko% Alle køkkener'!L91</f>
        <v>0</v>
      </c>
      <c r="G47" s="58">
        <f>'Øko% Alle køkkener'!M91</f>
        <v>0</v>
      </c>
      <c r="H47" s="58">
        <f>'Øko% Alle køkkener'!N91</f>
        <v>1375.97</v>
      </c>
      <c r="I47" s="58">
        <f>'Øko% Alle køkkener'!O91</f>
        <v>1503.2180000000001</v>
      </c>
      <c r="J47" s="58">
        <f>'Øko% Alle køkkener'!P91</f>
        <v>0</v>
      </c>
      <c r="K47" s="58">
        <f>'Øko% Alle køkkener'!Q91</f>
        <v>0</v>
      </c>
      <c r="L47" s="58">
        <f>'Øko% Alle køkkener'!R91</f>
        <v>0</v>
      </c>
      <c r="M47" s="58">
        <f>'Øko% Alle køkkener'!S91</f>
        <v>0</v>
      </c>
      <c r="N47" s="58">
        <f>'Øko% Alle køkkener'!T91</f>
        <v>0</v>
      </c>
      <c r="O47" s="58">
        <f>'Øko% Alle køkkener'!U91</f>
        <v>0</v>
      </c>
    </row>
    <row r="48" spans="1:15" x14ac:dyDescent="0.35">
      <c r="A48" s="57" t="str">
        <f>'Øko% Alle køkkener'!A96</f>
        <v>Stavnsholt Børnehus, integr.</v>
      </c>
      <c r="B48" s="59">
        <f>+VLOOKUP(A48,'Øko% Alle køkkener'!$A$5:$H$115,3,FALSE)</f>
        <v>1232086</v>
      </c>
      <c r="C48" s="58">
        <f>'Øko% Alle køkkener'!I96</f>
        <v>94.553228541717829</v>
      </c>
      <c r="D48" s="57">
        <f>'Øko% Alle køkkener'!J96</f>
        <v>2571.4279999999999</v>
      </c>
      <c r="E48" s="57">
        <f>'Øko% Alle køkkener'!K96</f>
        <v>2719.556</v>
      </c>
      <c r="F48" s="57">
        <f>'Øko% Alle køkkener'!L96</f>
        <v>0.16</v>
      </c>
      <c r="G48" s="57">
        <f>'Øko% Alle køkkener'!M96</f>
        <v>3.6760000000000002</v>
      </c>
      <c r="H48" s="57" t="str">
        <f>'Øko% Alle køkkener'!N60</f>
        <v>0</v>
      </c>
      <c r="I48" s="57" t="str">
        <f>'Øko% Alle køkkener'!O60</f>
        <v>0</v>
      </c>
      <c r="J48" s="57">
        <f>'Øko% Alle køkkener'!P60</f>
        <v>0</v>
      </c>
      <c r="K48" s="57">
        <f>'Øko% Alle køkkener'!Q60</f>
        <v>0</v>
      </c>
      <c r="L48" s="57">
        <f>'Øko% Alle køkkener'!R60</f>
        <v>0</v>
      </c>
      <c r="M48" s="57">
        <f>'Øko% Alle køkkener'!S60</f>
        <v>0</v>
      </c>
      <c r="N48" s="57">
        <f>'Øko% Alle køkkener'!T60</f>
        <v>0</v>
      </c>
      <c r="O48" s="57">
        <f>'Øko% Alle køkkener'!U60</f>
        <v>0</v>
      </c>
    </row>
    <row r="49" spans="1:16" x14ac:dyDescent="0.35">
      <c r="A49" s="57" t="str">
        <f>'Øko% Alle køkkener'!A98</f>
        <v xml:space="preserve">Stavnsholtskolen, kantinen. </v>
      </c>
      <c r="B49" s="59">
        <f>+VLOOKUP(A49,'Øko% Alle køkkener'!$A$5:$H$115,3,FALSE)</f>
        <v>2361189</v>
      </c>
      <c r="C49" s="58">
        <f>'Øko% Alle køkkener'!I98</f>
        <v>81.662001167755051</v>
      </c>
      <c r="D49" s="58">
        <f>'Øko% Alle køkkener'!J98</f>
        <v>788.81899999999996</v>
      </c>
      <c r="E49" s="58">
        <f>'Øko% Alle køkkener'!K98</f>
        <v>965.95600000000002</v>
      </c>
      <c r="F49" s="58">
        <f>'Øko% Alle køkkener'!L98</f>
        <v>12.433999999999999</v>
      </c>
      <c r="G49" s="58">
        <f>'Øko% Alle køkkener'!M98</f>
        <v>62.234000000000002</v>
      </c>
      <c r="H49" s="58">
        <f>'Øko% Alle køkkener'!N98</f>
        <v>776.38499999999999</v>
      </c>
      <c r="I49" s="58">
        <f>'Øko% Alle køkkener'!O98</f>
        <v>903.72199999999998</v>
      </c>
      <c r="J49" s="58">
        <f>'Øko% Alle køkkener'!P98</f>
        <v>0</v>
      </c>
      <c r="K49" s="58">
        <f>'Øko% Alle køkkener'!Q98</f>
        <v>0</v>
      </c>
      <c r="L49" s="58">
        <f>'Øko% Alle køkkener'!R98</f>
        <v>0</v>
      </c>
      <c r="M49" s="58">
        <f>'Øko% Alle køkkener'!S98</f>
        <v>0</v>
      </c>
      <c r="N49" s="58">
        <f>'Øko% Alle køkkener'!T98</f>
        <v>0</v>
      </c>
      <c r="O49" s="58">
        <f>'Øko% Alle køkkener'!U98</f>
        <v>0</v>
      </c>
    </row>
    <row r="50" spans="1:16" x14ac:dyDescent="0.35">
      <c r="A50" s="57" t="str">
        <f>'Øko% Alle køkkener'!A101</f>
        <v>Svanepunktet Plejecenter, Svane</v>
      </c>
      <c r="B50" s="59">
        <f>+VLOOKUP(A50,'Øko% Alle køkkener'!$A$5:$H$115,3,FALSE)</f>
        <v>0</v>
      </c>
      <c r="C50" s="58">
        <f>'Øko% Alle køkkener'!I101</f>
        <v>53.878509643443159</v>
      </c>
      <c r="D50" s="58">
        <f>'Øko% Alle køkkener'!J101</f>
        <v>1332.1510000000001</v>
      </c>
      <c r="E50" s="58">
        <f>'Øko% Alle køkkener'!K101</f>
        <v>2472.509</v>
      </c>
      <c r="F50" s="58">
        <f>'Øko% Alle køkkener'!L101</f>
        <v>0</v>
      </c>
      <c r="G50" s="58">
        <f>'Øko% Alle køkkener'!M101</f>
        <v>0</v>
      </c>
      <c r="H50" s="58">
        <f>'Øko% Alle køkkener'!N101</f>
        <v>1332.1510000000001</v>
      </c>
      <c r="I50" s="58">
        <f>'Øko% Alle køkkener'!O101</f>
        <v>2421.509</v>
      </c>
      <c r="J50" s="58">
        <f>'Øko% Alle køkkener'!P101</f>
        <v>0</v>
      </c>
      <c r="K50" s="58">
        <f>'Øko% Alle køkkener'!Q101</f>
        <v>0</v>
      </c>
      <c r="L50" s="58">
        <f>'Øko% Alle køkkener'!R101</f>
        <v>0</v>
      </c>
      <c r="M50" s="58">
        <f>'Øko% Alle køkkener'!S101</f>
        <v>51</v>
      </c>
      <c r="N50" s="58">
        <f>'Øko% Alle køkkener'!T101</f>
        <v>0</v>
      </c>
      <c r="O50" s="58">
        <f>'Øko% Alle køkkener'!U101</f>
        <v>0</v>
      </c>
    </row>
    <row r="51" spans="1:16" x14ac:dyDescent="0.35">
      <c r="A51" s="57" t="str">
        <f>'Øko% Alle køkkener'!A103</f>
        <v>Svanepunktet, Rehab</v>
      </c>
      <c r="B51" s="59">
        <f>+VLOOKUP(A51,'Øko% Alle køkkener'!$A$5:$H$115,3,FALSE)</f>
        <v>0</v>
      </c>
      <c r="C51" s="58">
        <f>'Øko% Alle køkkener'!I103</f>
        <v>62.083956415168188</v>
      </c>
      <c r="D51" s="58">
        <f>'Øko% Alle køkkener'!J103</f>
        <v>1507.057</v>
      </c>
      <c r="E51" s="58">
        <f>'Øko% Alle køkkener'!K103</f>
        <v>2427.4499999999998</v>
      </c>
      <c r="F51" s="58">
        <f>'Øko% Alle køkkener'!L103</f>
        <v>0</v>
      </c>
      <c r="G51" s="58">
        <f>'Øko% Alle køkkener'!M103</f>
        <v>0</v>
      </c>
      <c r="H51" s="58">
        <f>'Øko% Alle køkkener'!N103</f>
        <v>1477.057</v>
      </c>
      <c r="I51" s="58">
        <f>'Øko% Alle køkkener'!O103</f>
        <v>2394.4499999999998</v>
      </c>
      <c r="J51" s="58">
        <f>'Øko% Alle køkkener'!P103</f>
        <v>0</v>
      </c>
      <c r="K51" s="58">
        <f>'Øko% Alle køkkener'!Q103</f>
        <v>0</v>
      </c>
      <c r="L51" s="58">
        <f>'Øko% Alle køkkener'!R103</f>
        <v>30</v>
      </c>
      <c r="M51" s="58">
        <f>'Øko% Alle køkkener'!S103</f>
        <v>33</v>
      </c>
      <c r="N51" s="58">
        <f>'Øko% Alle køkkener'!T103</f>
        <v>0</v>
      </c>
      <c r="O51" s="58">
        <f>'Øko% Alle køkkener'!U103</f>
        <v>0</v>
      </c>
    </row>
    <row r="52" spans="1:16" x14ac:dyDescent="0.35">
      <c r="A52" s="57" t="str">
        <f>'Øko% Alle køkkener'!A104</f>
        <v>Syvstjerneklubben &amp; kantine</v>
      </c>
      <c r="B52" s="59">
        <f>+VLOOKUP(A52,'Øko% Alle køkkener'!$A$5:$H$115,3,FALSE)</f>
        <v>0</v>
      </c>
      <c r="C52" s="58">
        <f>'Øko% Alle køkkener'!I104</f>
        <v>55.962572312962493</v>
      </c>
      <c r="D52" s="57">
        <f>'Øko% Alle køkkener'!J104</f>
        <v>845.57600000000002</v>
      </c>
      <c r="E52" s="57">
        <f>'Øko% Alle køkkener'!K104</f>
        <v>1510.9670000000001</v>
      </c>
      <c r="F52" s="57">
        <f>'Øko% Alle køkkener'!L104</f>
        <v>0</v>
      </c>
      <c r="G52" s="57">
        <f>'Øko% Alle køkkener'!M104</f>
        <v>0</v>
      </c>
      <c r="H52" s="57">
        <f>'Øko% Alle køkkener'!N104</f>
        <v>845.57600000000002</v>
      </c>
      <c r="I52" s="57">
        <f>'Øko% Alle køkkener'!O104</f>
        <v>1510.9670000000001</v>
      </c>
      <c r="J52" s="57">
        <f>'Øko% Alle køkkener'!P104</f>
        <v>0</v>
      </c>
      <c r="K52" s="57">
        <f>'Øko% Alle køkkener'!Q104</f>
        <v>0</v>
      </c>
      <c r="L52" s="57">
        <f>'Øko% Alle køkkener'!R104</f>
        <v>0</v>
      </c>
      <c r="M52" s="57">
        <f>'Øko% Alle køkkener'!S104</f>
        <v>0</v>
      </c>
      <c r="N52" s="57">
        <f>'Øko% Alle køkkener'!T104</f>
        <v>0</v>
      </c>
      <c r="O52" s="57">
        <f>'Øko% Alle køkkener'!U104</f>
        <v>0</v>
      </c>
    </row>
    <row r="53" spans="1:16" x14ac:dyDescent="0.35">
      <c r="A53" s="57" t="str">
        <f>'Øko% Alle køkkener'!A110</f>
        <v>Søndersø FFO 2, Solbjerggaard</v>
      </c>
      <c r="B53" s="59">
        <f>+VLOOKUP(A53,'Øko% Alle køkkener'!$A$5:$H$115,3,FALSE)</f>
        <v>2167011</v>
      </c>
      <c r="C53" s="58">
        <f>'Øko% Alle køkkener'!I110</f>
        <v>12.897674649619745</v>
      </c>
      <c r="D53" s="58">
        <f>'Øko% Alle køkkener'!J110</f>
        <v>176.58</v>
      </c>
      <c r="E53" s="58">
        <f>'Øko% Alle køkkener'!K110</f>
        <v>1369.0840000000001</v>
      </c>
      <c r="F53" s="58">
        <f>'Øko% Alle køkkener'!L110</f>
        <v>176.58</v>
      </c>
      <c r="G53" s="58">
        <f>'Øko% Alle køkkener'!M110</f>
        <v>1369.0840000000001</v>
      </c>
      <c r="H53" s="58" t="str">
        <f>'Øko% Alle køkkener'!N110</f>
        <v>0</v>
      </c>
      <c r="I53" s="58" t="str">
        <f>'Øko% Alle køkkener'!O110</f>
        <v>0</v>
      </c>
      <c r="J53" s="58">
        <f>'Øko% Alle køkkener'!P110</f>
        <v>0</v>
      </c>
      <c r="K53" s="58">
        <f>'Øko% Alle køkkener'!Q110</f>
        <v>0</v>
      </c>
      <c r="L53" s="58">
        <f>'Øko% Alle køkkener'!R110</f>
        <v>0</v>
      </c>
      <c r="M53" s="58">
        <f>'Øko% Alle køkkener'!S110</f>
        <v>0</v>
      </c>
      <c r="N53" s="58">
        <f>'Øko% Alle køkkener'!T110</f>
        <v>0</v>
      </c>
      <c r="O53" s="58">
        <f>'Øko% Alle køkkener'!U110</f>
        <v>0</v>
      </c>
    </row>
    <row r="54" spans="1:16" x14ac:dyDescent="0.35">
      <c r="A54" s="57" t="str">
        <f>'Øko% Alle køkkener'!A114</f>
        <v>Værløse Svømmehal</v>
      </c>
      <c r="B54" s="59">
        <f>+VLOOKUP(A54,'Øko% Alle køkkener'!$A$5:$H$115,3,FALSE)</f>
        <v>0</v>
      </c>
      <c r="C54" s="58">
        <f>'Øko% Alle køkkener'!I114</f>
        <v>24.207788215556633</v>
      </c>
      <c r="D54" s="57">
        <f>'Øko% Alle køkkener'!J114</f>
        <v>557.54700000000003</v>
      </c>
      <c r="E54" s="57">
        <f>'Øko% Alle køkkener'!K114</f>
        <v>2303.172</v>
      </c>
      <c r="F54" s="57">
        <f>'Øko% Alle køkkener'!L114</f>
        <v>0</v>
      </c>
      <c r="G54" s="57">
        <f>'Øko% Alle køkkener'!M114</f>
        <v>0</v>
      </c>
      <c r="H54" s="57">
        <f>'Øko% Alle køkkener'!N34</f>
        <v>604.71100000000001</v>
      </c>
      <c r="I54" s="57">
        <f>'Øko% Alle køkkener'!O34</f>
        <v>700.85</v>
      </c>
      <c r="J54" s="57">
        <f>'Øko% Alle køkkener'!P114</f>
        <v>0</v>
      </c>
      <c r="K54" s="57">
        <f>'Øko% Alle køkkener'!Q114</f>
        <v>0</v>
      </c>
      <c r="L54" s="57">
        <f>'Øko% Alle køkkener'!R114</f>
        <v>0</v>
      </c>
      <c r="M54" s="57">
        <f>'Øko% Alle køkkener'!S114</f>
        <v>31</v>
      </c>
      <c r="N54" s="57">
        <f>'Øko% Alle køkkener'!T114</f>
        <v>19.600000000000001</v>
      </c>
      <c r="O54" s="57">
        <f>'Øko% Alle køkkener'!U114</f>
        <v>279.45499999999998</v>
      </c>
    </row>
    <row r="55" spans="1:16" ht="15" thickBot="1" x14ac:dyDescent="0.4">
      <c r="A55" s="57" t="str">
        <f>'Øko% Alle køkkener'!A115</f>
        <v>Åkanden</v>
      </c>
      <c r="B55" s="59">
        <f>+VLOOKUP(A55,'Øko% Alle køkkener'!$A$5:$H$115,3,FALSE)</f>
        <v>0</v>
      </c>
      <c r="C55" s="58">
        <f>'Øko% Alle køkkener'!I115</f>
        <v>95.211594032993602</v>
      </c>
      <c r="D55" s="57">
        <f>'Øko% Alle køkkener'!J115</f>
        <v>1689.2660000000001</v>
      </c>
      <c r="E55" s="57">
        <f>'Øko% Alle køkkener'!K115</f>
        <v>1774.223</v>
      </c>
      <c r="F55" s="57">
        <f>'Øko% Alle køkkener'!L115</f>
        <v>0</v>
      </c>
      <c r="G55" s="57">
        <f>'Øko% Alle køkkener'!M115</f>
        <v>0</v>
      </c>
      <c r="H55" s="57">
        <f>'Øko% Alle køkkener'!N115</f>
        <v>1679.2660000000001</v>
      </c>
      <c r="I55" s="57">
        <f>'Øko% Alle køkkener'!O115</f>
        <v>1758.223</v>
      </c>
      <c r="J55" s="57">
        <f>'Øko% Alle køkkener'!P115</f>
        <v>0</v>
      </c>
      <c r="K55" s="57">
        <f>'Øko% Alle køkkener'!Q115</f>
        <v>0</v>
      </c>
      <c r="L55" s="57">
        <f>'Øko% Alle køkkener'!R115</f>
        <v>10</v>
      </c>
      <c r="M55" s="57">
        <f>'Øko% Alle køkkener'!S115</f>
        <v>16</v>
      </c>
      <c r="N55" s="57">
        <f>'Øko% Alle køkkener'!T115</f>
        <v>0</v>
      </c>
      <c r="O55" s="57">
        <f>'Øko% Alle køkkener'!U115</f>
        <v>0</v>
      </c>
    </row>
    <row r="56" spans="1:16" ht="16.5" thickTop="1" thickBot="1" x14ac:dyDescent="0.4">
      <c r="A56" s="56" t="s">
        <v>60</v>
      </c>
      <c r="B56" s="56"/>
      <c r="C56" s="55">
        <f>(D56*100)/E56</f>
        <v>66.031851157498295</v>
      </c>
      <c r="D56" s="52">
        <f>F56+H56+J56+L56+N56</f>
        <v>74122.443999999989</v>
      </c>
      <c r="E56" s="52">
        <f>G56+I56+K56+M56+O56</f>
        <v>112252.561</v>
      </c>
      <c r="F56" s="54">
        <f>SUM(F5:F55)</f>
        <v>1807.42</v>
      </c>
      <c r="G56" s="52">
        <f t="shared" ref="G56:O56" si="0">SUM(G5:G55)</f>
        <v>5118.7579999999998</v>
      </c>
      <c r="H56" s="52">
        <f t="shared" si="0"/>
        <v>71626.803999999989</v>
      </c>
      <c r="I56" s="52">
        <f t="shared" si="0"/>
        <v>105247.496</v>
      </c>
      <c r="J56" s="53">
        <f t="shared" si="0"/>
        <v>10</v>
      </c>
      <c r="K56" s="53">
        <f t="shared" si="0"/>
        <v>252.00800000000001</v>
      </c>
      <c r="L56" s="52">
        <f t="shared" si="0"/>
        <v>592.32000000000005</v>
      </c>
      <c r="M56" s="52">
        <f t="shared" si="0"/>
        <v>1284.924</v>
      </c>
      <c r="N56" s="52">
        <f t="shared" si="0"/>
        <v>85.9</v>
      </c>
      <c r="O56" s="52">
        <f t="shared" si="0"/>
        <v>349.375</v>
      </c>
      <c r="P56" s="41"/>
    </row>
    <row r="57" spans="1:16" s="41" customFormat="1" x14ac:dyDescent="0.35">
      <c r="A57" s="46"/>
      <c r="B57" s="46"/>
      <c r="C57" s="50"/>
      <c r="D57" s="49"/>
      <c r="E57" s="49"/>
      <c r="F57" s="51"/>
      <c r="G57" s="51"/>
      <c r="H57" s="44"/>
      <c r="I57" s="44"/>
      <c r="J57" s="42"/>
      <c r="K57" s="42"/>
      <c r="L57" s="43"/>
      <c r="M57" s="3"/>
      <c r="N57" s="40"/>
      <c r="O57" s="40"/>
      <c r="P57" s="40"/>
    </row>
    <row r="58" spans="1:16" x14ac:dyDescent="0.35">
      <c r="A58" s="46"/>
      <c r="B58" s="46"/>
      <c r="C58" s="50"/>
      <c r="D58" s="49"/>
      <c r="E58" s="49"/>
      <c r="G58" s="44"/>
      <c r="J58" s="40"/>
      <c r="K58" s="41"/>
      <c r="N58" s="3"/>
      <c r="O58" s="3"/>
    </row>
    <row r="85" spans="4:4" x14ac:dyDescent="0.35">
      <c r="D85" s="47"/>
    </row>
    <row r="86" spans="4:4" x14ac:dyDescent="0.35">
      <c r="D86" s="80"/>
    </row>
  </sheetData>
  <autoFilter ref="A4:P56" xr:uid="{B83F36C6-1154-49C3-9441-A6713B4BA070}"/>
  <mergeCells count="6">
    <mergeCell ref="L3:M3"/>
    <mergeCell ref="N3:O3"/>
    <mergeCell ref="D3:E3"/>
    <mergeCell ref="F3:G3"/>
    <mergeCell ref="H3:I3"/>
    <mergeCell ref="J3:K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965B59-8FDD-4AFB-896C-461D3801CB4F}">
  <dimension ref="A2:D122"/>
  <sheetViews>
    <sheetView tabSelected="1" workbookViewId="0">
      <selection activeCell="A56" sqref="A56:XFD56"/>
    </sheetView>
  </sheetViews>
  <sheetFormatPr defaultRowHeight="14.5" x14ac:dyDescent="0.35"/>
  <cols>
    <col min="1" max="1" width="79" bestFit="1" customWidth="1"/>
    <col min="2" max="2" width="12.90625" bestFit="1" customWidth="1"/>
    <col min="3" max="3" width="17.36328125" bestFit="1" customWidth="1"/>
    <col min="4" max="4" width="11.90625" bestFit="1" customWidth="1"/>
  </cols>
  <sheetData>
    <row r="2" spans="1:4" x14ac:dyDescent="0.35">
      <c r="A2" s="84" t="s">
        <v>163</v>
      </c>
      <c r="B2" t="s">
        <v>166</v>
      </c>
      <c r="C2" t="s">
        <v>165</v>
      </c>
      <c r="D2" t="s">
        <v>169</v>
      </c>
    </row>
    <row r="3" spans="1:4" x14ac:dyDescent="0.35">
      <c r="A3" s="85" t="s">
        <v>115</v>
      </c>
      <c r="B3" s="90">
        <v>42280.339000000007</v>
      </c>
      <c r="C3" s="90">
        <v>46547.190999999999</v>
      </c>
      <c r="D3" s="87">
        <v>0.90833277135885615</v>
      </c>
    </row>
    <row r="4" spans="1:4" x14ac:dyDescent="0.35">
      <c r="A4" s="86" t="s">
        <v>53</v>
      </c>
      <c r="B4" s="90">
        <v>1294.6869999999999</v>
      </c>
      <c r="C4" s="90">
        <v>1450.258</v>
      </c>
      <c r="D4" s="87">
        <v>0.89272874205830954</v>
      </c>
    </row>
    <row r="5" spans="1:4" x14ac:dyDescent="0.35">
      <c r="A5" s="86" t="s">
        <v>26</v>
      </c>
      <c r="B5" s="90">
        <v>913.17499999999995</v>
      </c>
      <c r="C5" s="90">
        <v>1202.7440000000001</v>
      </c>
      <c r="D5" s="87">
        <v>0.75924303093592638</v>
      </c>
    </row>
    <row r="6" spans="1:4" x14ac:dyDescent="0.35">
      <c r="A6" s="86" t="s">
        <v>3</v>
      </c>
      <c r="B6" s="90">
        <v>1289.9159999999999</v>
      </c>
      <c r="C6" s="90">
        <v>1537.825</v>
      </c>
      <c r="D6" s="87">
        <v>0.8387924503763432</v>
      </c>
    </row>
    <row r="7" spans="1:4" x14ac:dyDescent="0.35">
      <c r="A7" s="86" t="s">
        <v>13</v>
      </c>
      <c r="B7" s="90">
        <v>2552.4550000000004</v>
      </c>
      <c r="C7" s="90">
        <v>2575.2550000000001</v>
      </c>
      <c r="D7" s="87">
        <v>0.99114650782155567</v>
      </c>
    </row>
    <row r="8" spans="1:4" x14ac:dyDescent="0.35">
      <c r="A8" s="86" t="s">
        <v>20</v>
      </c>
      <c r="B8" s="90">
        <v>1533.1010000000001</v>
      </c>
      <c r="C8" s="90">
        <v>1548.931</v>
      </c>
      <c r="D8" s="87">
        <v>0.98978004830428212</v>
      </c>
    </row>
    <row r="9" spans="1:4" x14ac:dyDescent="0.35">
      <c r="A9" s="86" t="s">
        <v>100</v>
      </c>
      <c r="B9" s="90">
        <v>383.52800000000002</v>
      </c>
      <c r="C9" s="90">
        <v>396.47399999999999</v>
      </c>
      <c r="D9" s="87">
        <v>0.96734716526178266</v>
      </c>
    </row>
    <row r="10" spans="1:4" x14ac:dyDescent="0.35">
      <c r="A10" s="86" t="s">
        <v>101</v>
      </c>
      <c r="B10" s="90">
        <v>1655.403</v>
      </c>
      <c r="C10" s="90">
        <v>1746.443</v>
      </c>
      <c r="D10" s="87">
        <v>0.94787118732188802</v>
      </c>
    </row>
    <row r="11" spans="1:4" x14ac:dyDescent="0.35">
      <c r="A11" s="86" t="s">
        <v>46</v>
      </c>
      <c r="B11" s="90">
        <v>1204.5139999999999</v>
      </c>
      <c r="C11" s="90">
        <v>1315.9680000000001</v>
      </c>
      <c r="D11" s="87">
        <v>0.9153064512206982</v>
      </c>
    </row>
    <row r="12" spans="1:4" x14ac:dyDescent="0.35">
      <c r="A12" s="86" t="s">
        <v>96</v>
      </c>
      <c r="B12" s="90">
        <v>1503.829</v>
      </c>
      <c r="C12" s="90">
        <v>1540.19</v>
      </c>
      <c r="D12" s="87">
        <v>0.97639187372986447</v>
      </c>
    </row>
    <row r="13" spans="1:4" x14ac:dyDescent="0.35">
      <c r="A13" s="86" t="s">
        <v>78</v>
      </c>
      <c r="B13" s="90">
        <v>1057.3520000000001</v>
      </c>
      <c r="C13" s="90">
        <v>1156.2670000000001</v>
      </c>
      <c r="D13" s="87">
        <v>0.91445314966179958</v>
      </c>
    </row>
    <row r="14" spans="1:4" x14ac:dyDescent="0.35">
      <c r="A14" s="86" t="s">
        <v>4</v>
      </c>
      <c r="B14" s="90">
        <v>1527.6570000000002</v>
      </c>
      <c r="C14" s="90">
        <v>1610.393</v>
      </c>
      <c r="D14" s="87">
        <v>0.94862372104200654</v>
      </c>
    </row>
    <row r="15" spans="1:4" x14ac:dyDescent="0.35">
      <c r="A15" s="86" t="s">
        <v>5</v>
      </c>
      <c r="B15" s="90">
        <v>2733.8359999999998</v>
      </c>
      <c r="C15" s="90">
        <v>3383.607</v>
      </c>
      <c r="D15" s="87">
        <v>0.80796499120612997</v>
      </c>
    </row>
    <row r="16" spans="1:4" x14ac:dyDescent="0.35">
      <c r="A16" s="86" t="s">
        <v>55</v>
      </c>
      <c r="B16" s="90">
        <v>3093.8319999999999</v>
      </c>
      <c r="C16" s="90">
        <v>3179.3110000000001</v>
      </c>
      <c r="D16" s="87">
        <v>0.97311398601772514</v>
      </c>
    </row>
    <row r="17" spans="1:4" x14ac:dyDescent="0.35">
      <c r="A17" s="86" t="s">
        <v>6</v>
      </c>
      <c r="B17" s="90">
        <v>1305.4490000000001</v>
      </c>
      <c r="C17" s="90">
        <v>1338.1489999999999</v>
      </c>
      <c r="D17" s="87">
        <v>0.97556325939786992</v>
      </c>
    </row>
    <row r="18" spans="1:4" x14ac:dyDescent="0.35">
      <c r="A18" s="86" t="s">
        <v>34</v>
      </c>
      <c r="B18" s="90">
        <v>604.71100000000001</v>
      </c>
      <c r="C18" s="90">
        <v>707.22800000000007</v>
      </c>
      <c r="D18" s="87">
        <v>0.85504391794442525</v>
      </c>
    </row>
    <row r="19" spans="1:4" x14ac:dyDescent="0.35">
      <c r="A19" s="86" t="s">
        <v>7</v>
      </c>
      <c r="B19" s="90">
        <v>2310.1329999999998</v>
      </c>
      <c r="C19" s="90">
        <v>2555.1469999999999</v>
      </c>
      <c r="D19" s="87">
        <v>0.90410962656943017</v>
      </c>
    </row>
    <row r="20" spans="1:4" x14ac:dyDescent="0.35">
      <c r="A20" s="86" t="s">
        <v>15</v>
      </c>
      <c r="B20" s="90">
        <v>1610.769</v>
      </c>
      <c r="C20" s="90">
        <v>1625.069</v>
      </c>
      <c r="D20" s="87">
        <v>0.99120037364567293</v>
      </c>
    </row>
    <row r="21" spans="1:4" x14ac:dyDescent="0.35">
      <c r="A21" s="86" t="s">
        <v>68</v>
      </c>
      <c r="B21" s="90">
        <v>112.446</v>
      </c>
      <c r="C21" s="90">
        <v>158.65600000000001</v>
      </c>
      <c r="D21" s="87">
        <v>0.70874092375958042</v>
      </c>
    </row>
    <row r="22" spans="1:4" x14ac:dyDescent="0.35">
      <c r="A22" s="86" t="s">
        <v>8</v>
      </c>
      <c r="B22" s="90">
        <v>1698.1289999999999</v>
      </c>
      <c r="C22" s="90">
        <v>1772.9290000000001</v>
      </c>
      <c r="D22" s="87">
        <v>0.95780992921882369</v>
      </c>
    </row>
    <row r="23" spans="1:4" x14ac:dyDescent="0.35">
      <c r="A23" s="86" t="s">
        <v>11</v>
      </c>
      <c r="B23" s="90">
        <v>1216.43</v>
      </c>
      <c r="C23" s="90">
        <v>1221.7349999999999</v>
      </c>
      <c r="D23" s="87">
        <v>0.99565781450150825</v>
      </c>
    </row>
    <row r="24" spans="1:4" x14ac:dyDescent="0.35">
      <c r="A24" s="86" t="s">
        <v>95</v>
      </c>
      <c r="B24" s="90">
        <v>1526.7570000000001</v>
      </c>
      <c r="C24" s="90">
        <v>1711.961</v>
      </c>
      <c r="D24" s="87">
        <v>0.89181762902309114</v>
      </c>
    </row>
    <row r="25" spans="1:4" x14ac:dyDescent="0.35">
      <c r="A25" s="86" t="s">
        <v>17</v>
      </c>
      <c r="B25" s="90">
        <v>1392.3789999999999</v>
      </c>
      <c r="C25" s="90">
        <v>1478.6210000000001</v>
      </c>
      <c r="D25" s="87">
        <v>0.94167403276431205</v>
      </c>
    </row>
    <row r="26" spans="1:4" x14ac:dyDescent="0.35">
      <c r="A26" s="86" t="s">
        <v>21</v>
      </c>
      <c r="B26" s="90">
        <v>1689.2660000000001</v>
      </c>
      <c r="C26" s="90">
        <v>1774.223</v>
      </c>
      <c r="D26" s="87">
        <v>0.95211594032993607</v>
      </c>
    </row>
    <row r="27" spans="1:4" x14ac:dyDescent="0.35">
      <c r="A27" s="86" t="s">
        <v>18</v>
      </c>
      <c r="B27" s="90">
        <v>385.02000000000004</v>
      </c>
      <c r="C27" s="90">
        <v>549.67999999999995</v>
      </c>
      <c r="D27" s="87">
        <v>0.70044389462960277</v>
      </c>
    </row>
    <row r="28" spans="1:4" hidden="1" x14ac:dyDescent="0.35">
      <c r="A28" s="86" t="s">
        <v>58</v>
      </c>
      <c r="B28" s="90">
        <v>0</v>
      </c>
      <c r="C28" s="90">
        <v>0</v>
      </c>
      <c r="D28" s="87" t="e">
        <v>#DIV/0!</v>
      </c>
    </row>
    <row r="29" spans="1:4" x14ac:dyDescent="0.35">
      <c r="A29" s="86" t="s">
        <v>72</v>
      </c>
      <c r="B29" s="90">
        <v>0</v>
      </c>
      <c r="C29" s="90">
        <v>58.393000000000001</v>
      </c>
      <c r="D29" s="87">
        <v>0</v>
      </c>
    </row>
    <row r="30" spans="1:4" x14ac:dyDescent="0.35">
      <c r="A30" s="86" t="s">
        <v>132</v>
      </c>
      <c r="B30" s="90">
        <v>1198.4469999999999</v>
      </c>
      <c r="C30" s="90">
        <v>1528.6389999999999</v>
      </c>
      <c r="D30" s="87">
        <v>0.78399609064010534</v>
      </c>
    </row>
    <row r="31" spans="1:4" x14ac:dyDescent="0.35">
      <c r="A31" s="86" t="s">
        <v>214</v>
      </c>
      <c r="B31" s="90">
        <v>1375.97</v>
      </c>
      <c r="C31" s="90">
        <v>1503.2180000000001</v>
      </c>
      <c r="D31" s="87">
        <v>0.91534960331768245</v>
      </c>
    </row>
    <row r="32" spans="1:4" x14ac:dyDescent="0.35">
      <c r="A32" s="86" t="s">
        <v>158</v>
      </c>
      <c r="B32" s="90">
        <v>2351.0549999999998</v>
      </c>
      <c r="C32" s="90">
        <v>2800.5070000000001</v>
      </c>
      <c r="D32" s="87">
        <v>0.83951048863652178</v>
      </c>
    </row>
    <row r="33" spans="1:4" x14ac:dyDescent="0.35">
      <c r="A33" s="86" t="s">
        <v>223</v>
      </c>
      <c r="B33" s="90">
        <v>188.66499999999999</v>
      </c>
      <c r="C33" s="90">
        <v>399.81400000000002</v>
      </c>
      <c r="D33" s="87">
        <v>0.47188192509516919</v>
      </c>
    </row>
    <row r="34" spans="1:4" x14ac:dyDescent="0.35">
      <c r="A34" s="86" t="s">
        <v>219</v>
      </c>
      <c r="B34" s="90">
        <v>2571.4279999999999</v>
      </c>
      <c r="C34" s="90">
        <v>2719.556</v>
      </c>
      <c r="D34" s="87">
        <v>0.94553228541717838</v>
      </c>
    </row>
    <row r="35" spans="1:4" x14ac:dyDescent="0.35">
      <c r="A35" s="85" t="s">
        <v>116</v>
      </c>
      <c r="B35" s="90">
        <v>4241.5159999999996</v>
      </c>
      <c r="C35" s="90">
        <v>12897.799999999997</v>
      </c>
      <c r="D35" s="87">
        <v>0.32885577385290521</v>
      </c>
    </row>
    <row r="36" spans="1:4" x14ac:dyDescent="0.35">
      <c r="A36" s="86" t="s">
        <v>108</v>
      </c>
      <c r="B36" s="90">
        <v>1099.5419999999999</v>
      </c>
      <c r="C36" s="90">
        <v>3160.3959999999997</v>
      </c>
      <c r="D36" s="87">
        <v>0.34791272992371841</v>
      </c>
    </row>
    <row r="37" spans="1:4" x14ac:dyDescent="0.35">
      <c r="A37" s="86" t="s">
        <v>112</v>
      </c>
      <c r="B37" s="90">
        <v>419.74099999999999</v>
      </c>
      <c r="C37" s="90">
        <v>479.39400000000001</v>
      </c>
      <c r="D37" s="87">
        <v>0.87556581851253867</v>
      </c>
    </row>
    <row r="38" spans="1:4" x14ac:dyDescent="0.35">
      <c r="A38" s="86" t="s">
        <v>113</v>
      </c>
      <c r="B38" s="90">
        <v>845.57600000000002</v>
      </c>
      <c r="C38" s="90">
        <v>1510.9670000000001</v>
      </c>
      <c r="D38" s="87">
        <v>0.55962572312962489</v>
      </c>
    </row>
    <row r="39" spans="1:4" x14ac:dyDescent="0.35">
      <c r="A39" s="86" t="s">
        <v>86</v>
      </c>
      <c r="B39" s="90">
        <v>176.58</v>
      </c>
      <c r="C39" s="90">
        <v>1369.0840000000001</v>
      </c>
      <c r="D39" s="87">
        <v>0.12897674649619745</v>
      </c>
    </row>
    <row r="40" spans="1:4" hidden="1" x14ac:dyDescent="0.35">
      <c r="A40" s="86" t="s">
        <v>94</v>
      </c>
      <c r="B40" s="90">
        <v>0</v>
      </c>
      <c r="C40" s="90">
        <v>0</v>
      </c>
      <c r="D40" s="87" t="e">
        <v>#DIV/0!</v>
      </c>
    </row>
    <row r="41" spans="1:4" hidden="1" x14ac:dyDescent="0.35">
      <c r="A41" s="86" t="s">
        <v>74</v>
      </c>
      <c r="B41" s="90">
        <v>0</v>
      </c>
      <c r="C41" s="90">
        <v>0</v>
      </c>
      <c r="D41" s="87" t="e">
        <v>#DIV/0!</v>
      </c>
    </row>
    <row r="42" spans="1:4" x14ac:dyDescent="0.35">
      <c r="A42" s="86" t="s">
        <v>75</v>
      </c>
      <c r="B42" s="90">
        <v>146.327</v>
      </c>
      <c r="C42" s="90">
        <v>1647.979</v>
      </c>
      <c r="D42" s="87">
        <v>8.8791786788545241E-2</v>
      </c>
    </row>
    <row r="43" spans="1:4" hidden="1" x14ac:dyDescent="0.35">
      <c r="A43" s="86" t="s">
        <v>81</v>
      </c>
      <c r="B43" s="90">
        <v>0</v>
      </c>
      <c r="C43" s="90">
        <v>0</v>
      </c>
      <c r="D43" s="87" t="e">
        <v>#DIV/0!</v>
      </c>
    </row>
    <row r="44" spans="1:4" hidden="1" x14ac:dyDescent="0.35">
      <c r="A44" s="86" t="s">
        <v>110</v>
      </c>
      <c r="B44" s="90">
        <v>574.995</v>
      </c>
      <c r="C44" s="90">
        <v>822.822</v>
      </c>
      <c r="D44" s="87">
        <v>0.69880849077929375</v>
      </c>
    </row>
    <row r="45" spans="1:4" x14ac:dyDescent="0.35">
      <c r="A45" s="86" t="s">
        <v>111</v>
      </c>
      <c r="B45" s="90">
        <v>112.387</v>
      </c>
      <c r="C45" s="90">
        <v>1150.925</v>
      </c>
      <c r="D45" s="87">
        <v>9.7649282099181098E-2</v>
      </c>
    </row>
    <row r="46" spans="1:4" x14ac:dyDescent="0.35">
      <c r="A46" s="86" t="s">
        <v>47</v>
      </c>
      <c r="B46" s="90">
        <v>81.168999999999997</v>
      </c>
      <c r="C46" s="90">
        <v>603.05899999999997</v>
      </c>
      <c r="D46" s="87">
        <v>0.1345954541761254</v>
      </c>
    </row>
    <row r="47" spans="1:4" hidden="1" x14ac:dyDescent="0.35">
      <c r="A47" s="86" t="s">
        <v>64</v>
      </c>
      <c r="B47" s="90">
        <v>0</v>
      </c>
      <c r="C47" s="90">
        <v>0</v>
      </c>
      <c r="D47" s="87" t="e">
        <v>#DIV/0!</v>
      </c>
    </row>
    <row r="48" spans="1:4" x14ac:dyDescent="0.35">
      <c r="A48" s="86" t="s">
        <v>27</v>
      </c>
      <c r="B48" s="90">
        <v>1.5469999999999999</v>
      </c>
      <c r="C48" s="90">
        <v>354.738</v>
      </c>
      <c r="D48" s="87">
        <v>4.3609649938828087E-3</v>
      </c>
    </row>
    <row r="49" spans="1:4" x14ac:dyDescent="0.35">
      <c r="A49" s="86" t="s">
        <v>85</v>
      </c>
      <c r="B49" s="90">
        <v>28.934999999999999</v>
      </c>
      <c r="C49" s="90">
        <v>317.08699999999999</v>
      </c>
      <c r="D49" s="87">
        <v>9.1252558446104692E-2</v>
      </c>
    </row>
    <row r="50" spans="1:4" x14ac:dyDescent="0.35">
      <c r="A50" s="86" t="s">
        <v>175</v>
      </c>
      <c r="B50" s="90">
        <v>0</v>
      </c>
      <c r="C50" s="90">
        <v>21.77</v>
      </c>
      <c r="D50" s="87">
        <v>0</v>
      </c>
    </row>
    <row r="51" spans="1:4" ht="13.5" customHeight="1" x14ac:dyDescent="0.35">
      <c r="A51" s="86" t="s">
        <v>173</v>
      </c>
      <c r="B51" s="90">
        <v>353.56100000000004</v>
      </c>
      <c r="C51" s="90">
        <v>624.83000000000004</v>
      </c>
      <c r="D51" s="87">
        <v>0.56585151161115821</v>
      </c>
    </row>
    <row r="52" spans="1:4" x14ac:dyDescent="0.35">
      <c r="A52" s="86" t="s">
        <v>174</v>
      </c>
      <c r="B52" s="90">
        <v>128.673</v>
      </c>
      <c r="C52" s="90">
        <v>431.608</v>
      </c>
      <c r="D52" s="87">
        <v>0.29812468721617763</v>
      </c>
    </row>
    <row r="53" spans="1:4" x14ac:dyDescent="0.35">
      <c r="A53" s="86" t="s">
        <v>249</v>
      </c>
      <c r="B53" s="90">
        <v>272.483</v>
      </c>
      <c r="C53" s="90">
        <v>403.14100000000002</v>
      </c>
      <c r="D53" s="87">
        <v>0.67589999528700873</v>
      </c>
    </row>
    <row r="54" spans="1:4" x14ac:dyDescent="0.35">
      <c r="A54" s="85" t="s">
        <v>122</v>
      </c>
      <c r="B54" s="90">
        <v>517.44399999999996</v>
      </c>
      <c r="C54" s="90">
        <v>3128.0389999999989</v>
      </c>
      <c r="D54" s="87">
        <v>0.1654212111805512</v>
      </c>
    </row>
    <row r="55" spans="1:4" hidden="1" x14ac:dyDescent="0.35">
      <c r="A55" s="86" t="s">
        <v>99</v>
      </c>
      <c r="B55" s="90">
        <v>0</v>
      </c>
      <c r="C55" s="90">
        <v>0</v>
      </c>
      <c r="D55" s="87" t="e">
        <v>#DIV/0!</v>
      </c>
    </row>
    <row r="56" spans="1:4" hidden="1" x14ac:dyDescent="0.35">
      <c r="A56" s="86" t="s">
        <v>36</v>
      </c>
      <c r="B56" s="90">
        <v>0</v>
      </c>
      <c r="C56" s="90">
        <v>0</v>
      </c>
      <c r="D56" s="87" t="e">
        <v>#DIV/0!</v>
      </c>
    </row>
    <row r="57" spans="1:4" x14ac:dyDescent="0.35">
      <c r="A57" s="86" t="s">
        <v>51</v>
      </c>
      <c r="B57" s="90">
        <v>0</v>
      </c>
      <c r="C57" s="90">
        <v>130.196</v>
      </c>
      <c r="D57" s="87">
        <v>0</v>
      </c>
    </row>
    <row r="58" spans="1:4" x14ac:dyDescent="0.35">
      <c r="A58" s="86" t="s">
        <v>76</v>
      </c>
      <c r="B58" s="90">
        <v>10.34</v>
      </c>
      <c r="C58" s="90">
        <v>296.988</v>
      </c>
      <c r="D58" s="87">
        <v>3.4816221530836265E-2</v>
      </c>
    </row>
    <row r="59" spans="1:4" x14ac:dyDescent="0.35">
      <c r="A59" s="86" t="s">
        <v>50</v>
      </c>
      <c r="B59" s="90">
        <v>148</v>
      </c>
      <c r="C59" s="90">
        <v>270</v>
      </c>
      <c r="D59" s="87">
        <v>0.54814814814814816</v>
      </c>
    </row>
    <row r="60" spans="1:4" x14ac:dyDescent="0.35">
      <c r="A60" s="86" t="s">
        <v>57</v>
      </c>
      <c r="B60" s="90">
        <v>8.2919999999999998</v>
      </c>
      <c r="C60" s="90">
        <v>11.39</v>
      </c>
      <c r="D60" s="87">
        <v>0.72800702370500436</v>
      </c>
    </row>
    <row r="61" spans="1:4" x14ac:dyDescent="0.35">
      <c r="A61" s="86" t="s">
        <v>25</v>
      </c>
      <c r="B61" s="90">
        <v>0</v>
      </c>
      <c r="C61" s="90">
        <v>44.8</v>
      </c>
      <c r="D61" s="87">
        <v>0</v>
      </c>
    </row>
    <row r="62" spans="1:4" x14ac:dyDescent="0.35">
      <c r="A62" s="86" t="s">
        <v>52</v>
      </c>
      <c r="B62" s="90">
        <v>0</v>
      </c>
      <c r="C62" s="90">
        <v>89.68</v>
      </c>
      <c r="D62" s="87">
        <v>0</v>
      </c>
    </row>
    <row r="63" spans="1:4" x14ac:dyDescent="0.35">
      <c r="A63" s="86" t="s">
        <v>84</v>
      </c>
      <c r="B63" s="90">
        <v>17.864000000000001</v>
      </c>
      <c r="C63" s="90">
        <v>28.673999999999999</v>
      </c>
      <c r="D63" s="87">
        <v>0.62300341773034806</v>
      </c>
    </row>
    <row r="64" spans="1:4" x14ac:dyDescent="0.35">
      <c r="A64" s="86" t="s">
        <v>107</v>
      </c>
      <c r="B64" s="90">
        <v>20</v>
      </c>
      <c r="C64" s="90">
        <v>214.34</v>
      </c>
      <c r="D64" s="87">
        <v>9.3309694877297747E-2</v>
      </c>
    </row>
    <row r="65" spans="1:4" x14ac:dyDescent="0.35">
      <c r="A65" s="86" t="s">
        <v>59</v>
      </c>
      <c r="B65" s="90">
        <v>141.43899999999999</v>
      </c>
      <c r="C65" s="90">
        <v>710.49299999999994</v>
      </c>
      <c r="D65" s="87">
        <v>0.19907163054386182</v>
      </c>
    </row>
    <row r="66" spans="1:4" x14ac:dyDescent="0.35">
      <c r="A66" s="86" t="s">
        <v>109</v>
      </c>
      <c r="B66" s="90">
        <v>55.192999999999998</v>
      </c>
      <c r="C66" s="90">
        <v>587.21</v>
      </c>
      <c r="D66" s="87">
        <v>9.3991927930382649E-2</v>
      </c>
    </row>
    <row r="67" spans="1:4" x14ac:dyDescent="0.35">
      <c r="A67" s="86" t="s">
        <v>71</v>
      </c>
      <c r="B67" s="90">
        <v>44.128</v>
      </c>
      <c r="C67" s="90">
        <v>223.57499999999999</v>
      </c>
      <c r="D67" s="87">
        <v>0.19737448283573747</v>
      </c>
    </row>
    <row r="68" spans="1:4" x14ac:dyDescent="0.35">
      <c r="A68" s="86" t="s">
        <v>45</v>
      </c>
      <c r="B68" s="90">
        <v>8.0950000000000006</v>
      </c>
      <c r="C68" s="90">
        <v>21.131</v>
      </c>
      <c r="D68" s="87">
        <v>0.38308646065022955</v>
      </c>
    </row>
    <row r="69" spans="1:4" x14ac:dyDescent="0.35">
      <c r="A69" s="86" t="s">
        <v>69</v>
      </c>
      <c r="B69" s="90">
        <v>24</v>
      </c>
      <c r="C69" s="90">
        <v>39.096000000000004</v>
      </c>
      <c r="D69" s="87">
        <v>0.61387354205033762</v>
      </c>
    </row>
    <row r="70" spans="1:4" x14ac:dyDescent="0.35">
      <c r="A70" s="86" t="s">
        <v>92</v>
      </c>
      <c r="B70" s="90">
        <v>6.46</v>
      </c>
      <c r="C70" s="90">
        <v>174.261</v>
      </c>
      <c r="D70" s="87">
        <v>3.7070830535805489E-2</v>
      </c>
    </row>
    <row r="71" spans="1:4" x14ac:dyDescent="0.35">
      <c r="A71" s="86" t="s">
        <v>171</v>
      </c>
      <c r="B71" s="90">
        <v>4.0540000000000003</v>
      </c>
      <c r="C71" s="90">
        <v>73.456999999999994</v>
      </c>
      <c r="D71" s="87">
        <v>5.5188749880882702E-2</v>
      </c>
    </row>
    <row r="72" spans="1:4" x14ac:dyDescent="0.35">
      <c r="A72" s="86" t="s">
        <v>172</v>
      </c>
      <c r="B72" s="90">
        <v>29.579000000000001</v>
      </c>
      <c r="C72" s="90">
        <v>87.548000000000002</v>
      </c>
      <c r="D72" s="87">
        <v>0.33786037373783523</v>
      </c>
    </row>
    <row r="73" spans="1:4" x14ac:dyDescent="0.35">
      <c r="A73" s="86" t="s">
        <v>205</v>
      </c>
      <c r="B73" s="90">
        <v>0</v>
      </c>
      <c r="C73" s="90">
        <v>125.2</v>
      </c>
      <c r="D73" s="87">
        <v>0</v>
      </c>
    </row>
    <row r="74" spans="1:4" x14ac:dyDescent="0.35">
      <c r="A74" s="85" t="s">
        <v>121</v>
      </c>
      <c r="B74" s="90">
        <v>9136.5329999999994</v>
      </c>
      <c r="C74" s="90">
        <v>11385.42</v>
      </c>
      <c r="D74" s="87">
        <v>0.80247658847894932</v>
      </c>
    </row>
    <row r="75" spans="1:4" x14ac:dyDescent="0.35">
      <c r="A75" s="86" t="s">
        <v>37</v>
      </c>
      <c r="B75" s="90">
        <v>9136.5329999999994</v>
      </c>
      <c r="C75" s="90">
        <v>11385.42</v>
      </c>
      <c r="D75" s="87">
        <v>0.80247658847894932</v>
      </c>
    </row>
    <row r="76" spans="1:4" x14ac:dyDescent="0.35">
      <c r="A76" s="85" t="s">
        <v>118</v>
      </c>
      <c r="B76" s="90">
        <v>2416.3989999999999</v>
      </c>
      <c r="C76" s="90">
        <v>5237.6230000000005</v>
      </c>
      <c r="D76" s="87">
        <v>0.46135412953547816</v>
      </c>
    </row>
    <row r="77" spans="1:4" x14ac:dyDescent="0.35">
      <c r="A77" s="86" t="s">
        <v>77</v>
      </c>
      <c r="B77" s="90">
        <v>40.637</v>
      </c>
      <c r="C77" s="90">
        <v>439.76100000000002</v>
      </c>
      <c r="D77" s="87">
        <v>9.2407011990603985E-2</v>
      </c>
    </row>
    <row r="78" spans="1:4" x14ac:dyDescent="0.35">
      <c r="A78" s="86" t="s">
        <v>203</v>
      </c>
      <c r="B78" s="90">
        <v>639.721</v>
      </c>
      <c r="C78" s="90">
        <v>2455.6950000000002</v>
      </c>
      <c r="D78" s="87">
        <v>0.2605050708658852</v>
      </c>
    </row>
    <row r="79" spans="1:4" x14ac:dyDescent="0.35">
      <c r="A79" s="86" t="s">
        <v>215</v>
      </c>
      <c r="B79" s="90">
        <v>947.22199999999998</v>
      </c>
      <c r="C79" s="90">
        <v>1376.211</v>
      </c>
      <c r="D79" s="87">
        <v>0.68828253807010698</v>
      </c>
    </row>
    <row r="80" spans="1:4" x14ac:dyDescent="0.35">
      <c r="A80" s="86" t="s">
        <v>253</v>
      </c>
      <c r="B80" s="90">
        <v>788.81899999999996</v>
      </c>
      <c r="C80" s="90">
        <v>965.95600000000002</v>
      </c>
      <c r="D80" s="87">
        <v>0.81662001167755049</v>
      </c>
    </row>
    <row r="81" spans="1:4" x14ac:dyDescent="0.35">
      <c r="A81" s="85" t="s">
        <v>117</v>
      </c>
      <c r="B81" s="90">
        <v>3257.4190000000003</v>
      </c>
      <c r="C81" s="90">
        <v>8895.9979999999996</v>
      </c>
      <c r="D81" s="87">
        <v>0.36616678645836032</v>
      </c>
    </row>
    <row r="82" spans="1:4" x14ac:dyDescent="0.35">
      <c r="A82" s="86" t="s">
        <v>97</v>
      </c>
      <c r="B82" s="90">
        <v>832.8</v>
      </c>
      <c r="C82" s="90">
        <v>1268.0999999999999</v>
      </c>
      <c r="D82" s="87">
        <v>0.65673054175538204</v>
      </c>
    </row>
    <row r="83" spans="1:4" x14ac:dyDescent="0.35">
      <c r="A83" s="86" t="s">
        <v>54</v>
      </c>
      <c r="B83" s="90">
        <v>159.23099999999999</v>
      </c>
      <c r="C83" s="90">
        <v>212.25700000000001</v>
      </c>
      <c r="D83" s="87">
        <v>0.75018020607094227</v>
      </c>
    </row>
    <row r="84" spans="1:4" x14ac:dyDescent="0.35">
      <c r="A84" s="86" t="s">
        <v>9</v>
      </c>
      <c r="B84" s="90">
        <v>762.2879999999999</v>
      </c>
      <c r="C84" s="90">
        <v>964.59099999999989</v>
      </c>
      <c r="D84" s="87">
        <v>0.79027069504069603</v>
      </c>
    </row>
    <row r="85" spans="1:4" x14ac:dyDescent="0.35">
      <c r="A85" s="86" t="s">
        <v>79</v>
      </c>
      <c r="B85" s="90">
        <v>557.54700000000003</v>
      </c>
      <c r="C85" s="90">
        <v>2303.172</v>
      </c>
      <c r="D85" s="87">
        <v>0.24207788215556633</v>
      </c>
    </row>
    <row r="86" spans="1:4" hidden="1" x14ac:dyDescent="0.35">
      <c r="A86" s="86" t="s">
        <v>93</v>
      </c>
      <c r="B86" s="90">
        <v>0</v>
      </c>
      <c r="C86" s="90">
        <v>0</v>
      </c>
      <c r="D86" s="87" t="e">
        <v>#DIV/0!</v>
      </c>
    </row>
    <row r="87" spans="1:4" hidden="1" x14ac:dyDescent="0.35">
      <c r="A87" s="86" t="s">
        <v>102</v>
      </c>
      <c r="B87" s="90">
        <v>0</v>
      </c>
      <c r="C87" s="90">
        <v>0</v>
      </c>
      <c r="D87" s="87" t="e">
        <v>#DIV/0!</v>
      </c>
    </row>
    <row r="88" spans="1:4" hidden="1" x14ac:dyDescent="0.35">
      <c r="A88" s="86" t="s">
        <v>104</v>
      </c>
      <c r="B88" s="90">
        <v>0</v>
      </c>
      <c r="C88" s="90">
        <v>0</v>
      </c>
      <c r="D88" s="87" t="e">
        <v>#DIV/0!</v>
      </c>
    </row>
    <row r="89" spans="1:4" hidden="1" x14ac:dyDescent="0.35">
      <c r="A89" s="86" t="s">
        <v>19</v>
      </c>
      <c r="B89" s="90">
        <v>0</v>
      </c>
      <c r="C89" s="90">
        <v>0</v>
      </c>
      <c r="D89" s="87" t="e">
        <v>#DIV/0!</v>
      </c>
    </row>
    <row r="90" spans="1:4" hidden="1" x14ac:dyDescent="0.35">
      <c r="A90" s="86" t="s">
        <v>89</v>
      </c>
      <c r="B90" s="90">
        <v>0</v>
      </c>
      <c r="C90" s="90">
        <v>0</v>
      </c>
      <c r="D90" s="87" t="e">
        <v>#DIV/0!</v>
      </c>
    </row>
    <row r="91" spans="1:4" hidden="1" x14ac:dyDescent="0.35">
      <c r="A91" s="86" t="s">
        <v>56</v>
      </c>
      <c r="B91" s="90">
        <v>0</v>
      </c>
      <c r="C91" s="90">
        <v>0</v>
      </c>
      <c r="D91" s="87" t="e">
        <v>#DIV/0!</v>
      </c>
    </row>
    <row r="92" spans="1:4" hidden="1" x14ac:dyDescent="0.35">
      <c r="A92" s="86" t="s">
        <v>65</v>
      </c>
      <c r="B92" s="90">
        <v>0</v>
      </c>
      <c r="C92" s="90">
        <v>0</v>
      </c>
      <c r="D92" s="87" t="e">
        <v>#DIV/0!</v>
      </c>
    </row>
    <row r="93" spans="1:4" hidden="1" x14ac:dyDescent="0.35">
      <c r="A93" s="86" t="s">
        <v>103</v>
      </c>
      <c r="B93" s="90">
        <v>0</v>
      </c>
      <c r="C93" s="90">
        <v>0</v>
      </c>
      <c r="D93" s="87" t="e">
        <v>#DIV/0!</v>
      </c>
    </row>
    <row r="94" spans="1:4" hidden="1" x14ac:dyDescent="0.35">
      <c r="A94" s="86" t="s">
        <v>30</v>
      </c>
      <c r="B94" s="90">
        <v>0</v>
      </c>
      <c r="C94" s="90">
        <v>0</v>
      </c>
      <c r="D94" s="87" t="e">
        <v>#DIV/0!</v>
      </c>
    </row>
    <row r="95" spans="1:4" hidden="1" x14ac:dyDescent="0.35">
      <c r="A95" s="86" t="s">
        <v>80</v>
      </c>
      <c r="B95" s="90">
        <v>19.327000000000002</v>
      </c>
      <c r="C95" s="90">
        <v>34.49</v>
      </c>
      <c r="D95" s="87">
        <v>0.56036532328211075</v>
      </c>
    </row>
    <row r="96" spans="1:4" hidden="1" x14ac:dyDescent="0.35">
      <c r="A96" s="86" t="s">
        <v>28</v>
      </c>
      <c r="B96" s="90">
        <v>0</v>
      </c>
      <c r="C96" s="90">
        <v>0</v>
      </c>
      <c r="D96" s="87" t="e">
        <v>#DIV/0!</v>
      </c>
    </row>
    <row r="97" spans="1:4" hidden="1" x14ac:dyDescent="0.35">
      <c r="A97" s="86" t="s">
        <v>91</v>
      </c>
      <c r="B97" s="90">
        <v>328.02300000000002</v>
      </c>
      <c r="C97" s="90">
        <v>2443.5680000000002</v>
      </c>
      <c r="D97" s="87">
        <v>0.13423935818442539</v>
      </c>
    </row>
    <row r="98" spans="1:4" x14ac:dyDescent="0.35">
      <c r="A98" s="86" t="s">
        <v>63</v>
      </c>
      <c r="B98" s="90">
        <v>118.185</v>
      </c>
      <c r="C98" s="90">
        <v>478.24900000000002</v>
      </c>
      <c r="D98" s="87">
        <v>0.24712022398374067</v>
      </c>
    </row>
    <row r="99" spans="1:4" x14ac:dyDescent="0.35">
      <c r="A99" s="86" t="s">
        <v>176</v>
      </c>
      <c r="B99" s="90">
        <v>467.04399999999998</v>
      </c>
      <c r="C99" s="90">
        <v>1000.5650000000001</v>
      </c>
      <c r="D99" s="87">
        <v>0.46678026914793136</v>
      </c>
    </row>
    <row r="100" spans="1:4" x14ac:dyDescent="0.35">
      <c r="A100" s="86" t="s">
        <v>232</v>
      </c>
      <c r="B100" s="90">
        <v>12.974</v>
      </c>
      <c r="C100" s="90">
        <v>191.006</v>
      </c>
      <c r="D100" s="87">
        <v>6.7924567814623624E-2</v>
      </c>
    </row>
    <row r="101" spans="1:4" x14ac:dyDescent="0.35">
      <c r="A101" s="85" t="s">
        <v>120</v>
      </c>
      <c r="B101" s="90">
        <v>18613.673000000003</v>
      </c>
      <c r="C101" s="90">
        <v>42797.649999999994</v>
      </c>
      <c r="D101" s="87">
        <v>0.43492278197517864</v>
      </c>
    </row>
    <row r="102" spans="1:4" x14ac:dyDescent="0.35">
      <c r="A102" s="86" t="s">
        <v>22</v>
      </c>
      <c r="B102" s="90">
        <v>1468.2660000000001</v>
      </c>
      <c r="C102" s="90">
        <v>2050.2350000000001</v>
      </c>
      <c r="D102" s="87">
        <v>0.716145222376947</v>
      </c>
    </row>
    <row r="103" spans="1:4" x14ac:dyDescent="0.35">
      <c r="A103" s="86" t="s">
        <v>48</v>
      </c>
      <c r="B103" s="90">
        <v>848.83600000000001</v>
      </c>
      <c r="C103" s="90">
        <v>1629.1389999999999</v>
      </c>
      <c r="D103" s="87">
        <v>0.52103350297304285</v>
      </c>
    </row>
    <row r="104" spans="1:4" x14ac:dyDescent="0.35">
      <c r="A104" s="86" t="s">
        <v>12</v>
      </c>
      <c r="B104" s="90">
        <v>10388.575999999999</v>
      </c>
      <c r="C104" s="90">
        <v>25431.632000000001</v>
      </c>
      <c r="D104" s="87">
        <v>0.40849033990425776</v>
      </c>
    </row>
    <row r="105" spans="1:4" x14ac:dyDescent="0.35">
      <c r="A105" s="86" t="s">
        <v>23</v>
      </c>
      <c r="B105" s="90">
        <v>907.27</v>
      </c>
      <c r="C105" s="90">
        <v>1699.5160000000001</v>
      </c>
      <c r="D105" s="87">
        <v>0.53384022274576992</v>
      </c>
    </row>
    <row r="106" spans="1:4" x14ac:dyDescent="0.35">
      <c r="A106" s="86" t="s">
        <v>24</v>
      </c>
      <c r="B106" s="90">
        <v>364.60899999999998</v>
      </c>
      <c r="C106" s="90">
        <v>1420.2819999999999</v>
      </c>
      <c r="D106" s="87">
        <v>0.2567159197962095</v>
      </c>
    </row>
    <row r="107" spans="1:4" x14ac:dyDescent="0.35">
      <c r="A107" s="86" t="s">
        <v>10</v>
      </c>
      <c r="B107" s="90">
        <v>256.77199999999999</v>
      </c>
      <c r="C107" s="90">
        <v>835.59400000000005</v>
      </c>
      <c r="D107" s="87">
        <v>0.3072927761568417</v>
      </c>
    </row>
    <row r="108" spans="1:4" x14ac:dyDescent="0.35">
      <c r="A108" s="86" t="s">
        <v>16</v>
      </c>
      <c r="B108" s="90">
        <v>929.08299999999997</v>
      </c>
      <c r="C108" s="90">
        <v>1638</v>
      </c>
      <c r="D108" s="87">
        <v>0.56720573870573865</v>
      </c>
    </row>
    <row r="109" spans="1:4" x14ac:dyDescent="0.35">
      <c r="A109" s="86" t="s">
        <v>90</v>
      </c>
      <c r="B109" s="90">
        <v>1332.1510000000001</v>
      </c>
      <c r="C109" s="90">
        <v>2472.509</v>
      </c>
      <c r="D109" s="87">
        <v>0.53878509643443162</v>
      </c>
    </row>
    <row r="110" spans="1:4" hidden="1" x14ac:dyDescent="0.35">
      <c r="A110" s="86" t="s">
        <v>35</v>
      </c>
      <c r="B110" s="90">
        <v>1507.057</v>
      </c>
      <c r="C110" s="90">
        <v>2427.4499999999998</v>
      </c>
      <c r="D110" s="87">
        <v>0.62083956415168184</v>
      </c>
    </row>
    <row r="111" spans="1:4" hidden="1" x14ac:dyDescent="0.35">
      <c r="A111" s="86" t="s">
        <v>88</v>
      </c>
      <c r="B111" s="90">
        <v>0</v>
      </c>
      <c r="C111" s="90">
        <v>0</v>
      </c>
      <c r="D111" s="87" t="e">
        <v>#DIV/0!</v>
      </c>
    </row>
    <row r="112" spans="1:4" hidden="1" x14ac:dyDescent="0.35">
      <c r="A112" s="86" t="s">
        <v>67</v>
      </c>
      <c r="B112" s="90">
        <v>0</v>
      </c>
      <c r="C112" s="90">
        <v>0</v>
      </c>
      <c r="D112" s="87" t="e">
        <v>#DIV/0!</v>
      </c>
    </row>
    <row r="113" spans="1:4" x14ac:dyDescent="0.35">
      <c r="A113" s="86" t="s">
        <v>229</v>
      </c>
      <c r="B113" s="90">
        <v>611.053</v>
      </c>
      <c r="C113" s="90">
        <v>3193.2929999999997</v>
      </c>
      <c r="D113" s="87">
        <v>0.19135513089465955</v>
      </c>
    </row>
    <row r="114" spans="1:4" x14ac:dyDescent="0.35">
      <c r="A114" s="85" t="s">
        <v>119</v>
      </c>
      <c r="B114" s="90">
        <v>655.73599999999999</v>
      </c>
      <c r="C114" s="90">
        <v>3106.3029999999999</v>
      </c>
      <c r="D114" s="87">
        <v>0.21109853095464287</v>
      </c>
    </row>
    <row r="115" spans="1:4" x14ac:dyDescent="0.35">
      <c r="A115" s="86" t="s">
        <v>73</v>
      </c>
      <c r="B115" s="90">
        <v>170.30500000000001</v>
      </c>
      <c r="C115" s="90">
        <v>623.77499999999998</v>
      </c>
      <c r="D115" s="87">
        <v>0.27302312532563827</v>
      </c>
    </row>
    <row r="116" spans="1:4" x14ac:dyDescent="0.35">
      <c r="A116" s="86" t="s">
        <v>87</v>
      </c>
      <c r="B116" s="90">
        <v>71.960999999999999</v>
      </c>
      <c r="C116" s="90">
        <v>344.43700000000001</v>
      </c>
      <c r="D116" s="87">
        <v>0.20892354770248259</v>
      </c>
    </row>
    <row r="117" spans="1:4" x14ac:dyDescent="0.35">
      <c r="A117" s="86" t="s">
        <v>66</v>
      </c>
      <c r="B117" s="90">
        <v>48.012999999999998</v>
      </c>
      <c r="C117" s="90">
        <v>241.47399999999999</v>
      </c>
      <c r="D117" s="87">
        <v>0.19883300065431475</v>
      </c>
    </row>
    <row r="118" spans="1:4" x14ac:dyDescent="0.35">
      <c r="A118" s="86" t="s">
        <v>70</v>
      </c>
      <c r="B118" s="90">
        <v>71.620999999999995</v>
      </c>
      <c r="C118" s="90">
        <v>430.24700000000001</v>
      </c>
      <c r="D118" s="87">
        <v>0.16646484461251326</v>
      </c>
    </row>
    <row r="119" spans="1:4" x14ac:dyDescent="0.35">
      <c r="A119" s="86" t="s">
        <v>204</v>
      </c>
      <c r="B119" s="90">
        <v>134.93799999999999</v>
      </c>
      <c r="C119" s="90">
        <v>585.69799999999998</v>
      </c>
      <c r="D119" s="87">
        <v>0.23038835713968631</v>
      </c>
    </row>
    <row r="120" spans="1:4" x14ac:dyDescent="0.35">
      <c r="A120" s="86" t="s">
        <v>206</v>
      </c>
      <c r="B120" s="90">
        <v>98.927999999999997</v>
      </c>
      <c r="C120" s="90">
        <v>390.57400000000001</v>
      </c>
      <c r="D120" s="87">
        <v>0.25328874937911894</v>
      </c>
    </row>
    <row r="121" spans="1:4" x14ac:dyDescent="0.35">
      <c r="A121" s="86" t="s">
        <v>279</v>
      </c>
      <c r="B121" s="90">
        <v>59.97</v>
      </c>
      <c r="C121" s="90">
        <v>490.09800000000001</v>
      </c>
      <c r="D121" s="87">
        <v>0.1223632824455517</v>
      </c>
    </row>
    <row r="122" spans="1:4" x14ac:dyDescent="0.35">
      <c r="A122" s="85" t="s">
        <v>164</v>
      </c>
      <c r="B122" s="90">
        <v>81119.059000000008</v>
      </c>
      <c r="C122" s="90">
        <v>133996.024</v>
      </c>
      <c r="D122" s="87">
        <v>0.60538407467970845</v>
      </c>
    </row>
  </sheetData>
  <pageMargins left="0.7" right="0.7" top="0.75" bottom="0.75" header="0.3" footer="0.3"/>
  <pageSetup paperSize="9" orientation="portrait" horizontalDpi="4294967295" verticalDpi="4294967295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ABF67C-0BBA-4F58-BE86-E3CBD4DA53B9}">
  <dimension ref="A1:J62"/>
  <sheetViews>
    <sheetView showGridLines="0" topLeftCell="A44" workbookViewId="0">
      <selection activeCell="H6" sqref="H6"/>
    </sheetView>
  </sheetViews>
  <sheetFormatPr defaultColWidth="8.7265625" defaultRowHeight="14.5" x14ac:dyDescent="0.35"/>
  <cols>
    <col min="1" max="2" width="14.81640625" style="135" customWidth="1"/>
    <col min="3" max="3" width="54.453125" style="135" customWidth="1"/>
    <col min="4" max="4" width="17" style="135" customWidth="1"/>
    <col min="5" max="5" width="16.1796875" style="135" customWidth="1"/>
    <col min="6" max="6" width="8.1796875" style="135" customWidth="1"/>
    <col min="7" max="9" width="16.1796875" style="135" customWidth="1"/>
    <col min="10" max="11" width="13.453125" style="135" customWidth="1"/>
    <col min="12" max="16384" width="8.7265625" style="135"/>
  </cols>
  <sheetData>
    <row r="1" spans="1:10" ht="14.15" customHeight="1" x14ac:dyDescent="0.35">
      <c r="A1" s="227" t="s">
        <v>222</v>
      </c>
      <c r="B1" s="228"/>
      <c r="C1" s="228"/>
      <c r="D1" s="228"/>
      <c r="E1" s="228"/>
      <c r="F1" s="228"/>
    </row>
    <row r="2" spans="1:10" ht="14.15" customHeight="1" x14ac:dyDescent="0.35">
      <c r="A2" s="229" t="s">
        <v>259</v>
      </c>
      <c r="B2" s="228"/>
      <c r="C2" s="228"/>
      <c r="D2" s="228"/>
      <c r="E2" s="228"/>
      <c r="F2" s="228"/>
    </row>
    <row r="3" spans="1:10" ht="7.15" customHeight="1" x14ac:dyDescent="0.35"/>
    <row r="4" spans="1:10" x14ac:dyDescent="0.35">
      <c r="A4" s="203" t="s">
        <v>123</v>
      </c>
      <c r="B4" s="202" t="s">
        <v>123</v>
      </c>
      <c r="C4" s="204" t="s">
        <v>123</v>
      </c>
      <c r="D4" s="205" t="s">
        <v>123</v>
      </c>
      <c r="E4" s="230" t="s">
        <v>124</v>
      </c>
      <c r="F4" s="231"/>
      <c r="G4" s="231"/>
      <c r="H4" s="231"/>
      <c r="I4" s="232"/>
      <c r="J4" s="199" t="s">
        <v>260</v>
      </c>
    </row>
    <row r="5" spans="1:10" x14ac:dyDescent="0.35">
      <c r="A5" s="206" t="s">
        <v>220</v>
      </c>
      <c r="B5" s="207" t="s">
        <v>125</v>
      </c>
      <c r="C5" s="208" t="s">
        <v>126</v>
      </c>
      <c r="D5" s="209" t="s">
        <v>261</v>
      </c>
      <c r="E5" s="209" t="s">
        <v>2</v>
      </c>
      <c r="F5" s="209" t="s">
        <v>130</v>
      </c>
      <c r="G5" s="209" t="s">
        <v>127</v>
      </c>
      <c r="H5" s="209" t="s">
        <v>128</v>
      </c>
      <c r="I5" s="136" t="s">
        <v>129</v>
      </c>
      <c r="J5" s="210" t="s">
        <v>262</v>
      </c>
    </row>
    <row r="6" spans="1:10" x14ac:dyDescent="0.35">
      <c r="A6" s="203" t="s">
        <v>221</v>
      </c>
      <c r="B6" s="202">
        <v>200011554</v>
      </c>
      <c r="C6" s="204" t="s">
        <v>20</v>
      </c>
      <c r="D6" s="205" t="s">
        <v>263</v>
      </c>
      <c r="E6" s="211">
        <v>1384.7650000000001</v>
      </c>
      <c r="F6" s="212">
        <v>23.751999999999999</v>
      </c>
      <c r="G6" s="213">
        <v>1361.0129999999999</v>
      </c>
      <c r="H6" s="212">
        <v>1361.0129999999999</v>
      </c>
      <c r="I6" s="137">
        <v>1</v>
      </c>
      <c r="J6" s="214">
        <v>433022.03899999999</v>
      </c>
    </row>
    <row r="7" spans="1:10" x14ac:dyDescent="0.35">
      <c r="A7" s="203" t="s">
        <v>221</v>
      </c>
      <c r="B7" s="202">
        <v>200012124</v>
      </c>
      <c r="C7" s="204" t="s">
        <v>131</v>
      </c>
      <c r="D7" s="205" t="s">
        <v>123</v>
      </c>
      <c r="E7" s="211">
        <v>2804.3780000000002</v>
      </c>
      <c r="F7" s="212">
        <v>17.72</v>
      </c>
      <c r="G7" s="213">
        <v>2786.6579999999999</v>
      </c>
      <c r="H7" s="212">
        <v>2652.558</v>
      </c>
      <c r="I7" s="137">
        <v>0.95187784076840432</v>
      </c>
      <c r="J7" s="214">
        <v>888347.45799999998</v>
      </c>
    </row>
    <row r="8" spans="1:10" x14ac:dyDescent="0.35">
      <c r="A8" s="203" t="s">
        <v>221</v>
      </c>
      <c r="B8" s="202">
        <v>200012834</v>
      </c>
      <c r="C8" s="204" t="s">
        <v>3</v>
      </c>
      <c r="D8" s="205" t="s">
        <v>123</v>
      </c>
      <c r="E8" s="211">
        <v>1373.5</v>
      </c>
      <c r="F8" s="212">
        <v>18.91</v>
      </c>
      <c r="G8" s="213">
        <v>1354.59</v>
      </c>
      <c r="H8" s="212">
        <v>1084.905</v>
      </c>
      <c r="I8" s="137">
        <v>0.80091023852235732</v>
      </c>
      <c r="J8" s="214">
        <v>414033.09899999999</v>
      </c>
    </row>
    <row r="9" spans="1:10" x14ac:dyDescent="0.35">
      <c r="A9" s="203" t="s">
        <v>221</v>
      </c>
      <c r="B9" s="202">
        <v>200012841</v>
      </c>
      <c r="C9" s="204" t="s">
        <v>132</v>
      </c>
      <c r="D9" s="205" t="s">
        <v>264</v>
      </c>
      <c r="E9" s="211">
        <v>1647.616</v>
      </c>
      <c r="F9" s="212">
        <v>35.146000000000001</v>
      </c>
      <c r="G9" s="213">
        <v>1612.47</v>
      </c>
      <c r="H9" s="212">
        <v>1309.0309999999999</v>
      </c>
      <c r="I9" s="137">
        <v>0.81181727411982862</v>
      </c>
      <c r="J9" s="214">
        <v>457584.91800000001</v>
      </c>
    </row>
    <row r="10" spans="1:10" x14ac:dyDescent="0.35">
      <c r="A10" s="203" t="s">
        <v>221</v>
      </c>
      <c r="B10" s="202">
        <v>200021706</v>
      </c>
      <c r="C10" s="204" t="s">
        <v>133</v>
      </c>
      <c r="D10" s="205" t="s">
        <v>123</v>
      </c>
      <c r="E10" s="211">
        <v>1505.7739999999999</v>
      </c>
      <c r="F10" s="212">
        <v>44.99</v>
      </c>
      <c r="G10" s="213">
        <v>1460.7840000000001</v>
      </c>
      <c r="H10" s="212">
        <v>1389.16</v>
      </c>
      <c r="I10" s="137">
        <v>0.95096879483893582</v>
      </c>
      <c r="J10" s="214">
        <v>341874.57400000002</v>
      </c>
    </row>
    <row r="11" spans="1:10" x14ac:dyDescent="0.35">
      <c r="A11" s="203" t="s">
        <v>221</v>
      </c>
      <c r="B11" s="202">
        <v>200023854</v>
      </c>
      <c r="C11" s="204" t="s">
        <v>79</v>
      </c>
      <c r="D11" s="205" t="s">
        <v>123</v>
      </c>
      <c r="E11" s="211">
        <v>1988.405</v>
      </c>
      <c r="F11" s="212">
        <v>378.25</v>
      </c>
      <c r="G11" s="213">
        <v>1610.155</v>
      </c>
      <c r="H11" s="212">
        <v>519.14700000000005</v>
      </c>
      <c r="I11" s="137">
        <v>0.32242051231092661</v>
      </c>
      <c r="J11" s="214">
        <v>80596.471999999994</v>
      </c>
    </row>
    <row r="12" spans="1:10" x14ac:dyDescent="0.35">
      <c r="A12" s="203" t="s">
        <v>221</v>
      </c>
      <c r="B12" s="202">
        <v>200025919</v>
      </c>
      <c r="C12" s="204" t="s">
        <v>4</v>
      </c>
      <c r="D12" s="205" t="s">
        <v>123</v>
      </c>
      <c r="E12" s="211">
        <v>1662.134</v>
      </c>
      <c r="F12" s="212">
        <v>40.630000000000003</v>
      </c>
      <c r="G12" s="213">
        <v>1621.5039999999999</v>
      </c>
      <c r="H12" s="212">
        <v>1618.434</v>
      </c>
      <c r="I12" s="137">
        <v>0.99810669600568358</v>
      </c>
      <c r="J12" s="214">
        <v>475907.09100000001</v>
      </c>
    </row>
    <row r="13" spans="1:10" x14ac:dyDescent="0.35">
      <c r="A13" s="203" t="s">
        <v>221</v>
      </c>
      <c r="B13" s="202">
        <v>200025926</v>
      </c>
      <c r="C13" s="204" t="s">
        <v>5</v>
      </c>
      <c r="D13" s="205" t="s">
        <v>123</v>
      </c>
      <c r="E13" s="211">
        <v>2699.665</v>
      </c>
      <c r="F13" s="212">
        <v>95.174000000000007</v>
      </c>
      <c r="G13" s="213">
        <v>2604.491</v>
      </c>
      <c r="H13" s="212">
        <v>2294.2860000000001</v>
      </c>
      <c r="I13" s="137">
        <v>0.88089611367441856</v>
      </c>
      <c r="J13" s="214">
        <v>606509.95400000003</v>
      </c>
    </row>
    <row r="14" spans="1:10" x14ac:dyDescent="0.35">
      <c r="A14" s="203" t="s">
        <v>221</v>
      </c>
      <c r="B14" s="202">
        <v>200031514</v>
      </c>
      <c r="C14" s="204" t="s">
        <v>134</v>
      </c>
      <c r="D14" s="205" t="s">
        <v>123</v>
      </c>
      <c r="E14" s="211">
        <v>2174.3910000000001</v>
      </c>
      <c r="F14" s="212">
        <v>19.3</v>
      </c>
      <c r="G14" s="213">
        <v>2155.0909999999999</v>
      </c>
      <c r="H14" s="212">
        <v>1262.4670000000001</v>
      </c>
      <c r="I14" s="137">
        <v>0.58580681743833551</v>
      </c>
      <c r="J14" s="214">
        <v>292202.19799999997</v>
      </c>
    </row>
    <row r="15" spans="1:10" x14ac:dyDescent="0.35">
      <c r="A15" s="203" t="s">
        <v>221</v>
      </c>
      <c r="B15" s="202">
        <v>200031620</v>
      </c>
      <c r="C15" s="204" t="s">
        <v>135</v>
      </c>
      <c r="D15" s="205" t="s">
        <v>123</v>
      </c>
      <c r="E15" s="211">
        <v>946.40899999999999</v>
      </c>
      <c r="F15" s="212">
        <v>156.80000000000001</v>
      </c>
      <c r="G15" s="213">
        <v>789.60900000000004</v>
      </c>
      <c r="H15" s="212">
        <v>766.86300000000006</v>
      </c>
      <c r="I15" s="137">
        <v>0.97119333746195902</v>
      </c>
      <c r="J15" s="214">
        <v>321648.57</v>
      </c>
    </row>
    <row r="16" spans="1:10" x14ac:dyDescent="0.35">
      <c r="A16" s="203" t="s">
        <v>221</v>
      </c>
      <c r="B16" s="202">
        <v>200031637</v>
      </c>
      <c r="C16" s="204" t="s">
        <v>136</v>
      </c>
      <c r="D16" s="205" t="s">
        <v>123</v>
      </c>
      <c r="E16" s="211">
        <v>573.93499999999995</v>
      </c>
      <c r="F16" s="212">
        <v>16.600000000000001</v>
      </c>
      <c r="G16" s="213">
        <v>557.33500000000004</v>
      </c>
      <c r="H16" s="212">
        <v>73.265000000000001</v>
      </c>
      <c r="I16" s="137">
        <v>0.1314559466030305</v>
      </c>
      <c r="J16" s="214">
        <v>18682.407999999999</v>
      </c>
    </row>
    <row r="17" spans="1:10" x14ac:dyDescent="0.35">
      <c r="A17" s="203" t="s">
        <v>221</v>
      </c>
      <c r="B17" s="202">
        <v>200034485</v>
      </c>
      <c r="C17" s="204" t="s">
        <v>6</v>
      </c>
      <c r="D17" s="205" t="s">
        <v>123</v>
      </c>
      <c r="E17" s="211">
        <v>1367.2660000000001</v>
      </c>
      <c r="F17" s="212">
        <v>63.74</v>
      </c>
      <c r="G17" s="213">
        <v>1303.5260000000001</v>
      </c>
      <c r="H17" s="212">
        <v>1295.701</v>
      </c>
      <c r="I17" s="137">
        <v>0.99399705107531422</v>
      </c>
      <c r="J17" s="214">
        <v>195051.04</v>
      </c>
    </row>
    <row r="18" spans="1:10" x14ac:dyDescent="0.35">
      <c r="A18" s="203" t="s">
        <v>221</v>
      </c>
      <c r="B18" s="202">
        <v>200039428</v>
      </c>
      <c r="C18" s="204" t="s">
        <v>207</v>
      </c>
      <c r="D18" s="205" t="s">
        <v>123</v>
      </c>
      <c r="E18" s="211">
        <v>853.98699999999997</v>
      </c>
      <c r="F18" s="212">
        <v>4.8</v>
      </c>
      <c r="G18" s="213">
        <v>849.18700000000001</v>
      </c>
      <c r="H18" s="212">
        <v>555.14300000000003</v>
      </c>
      <c r="I18" s="137">
        <v>0.65373468976797811</v>
      </c>
      <c r="J18" s="214">
        <v>127527.96</v>
      </c>
    </row>
    <row r="19" spans="1:10" x14ac:dyDescent="0.35">
      <c r="A19" s="203" t="s">
        <v>221</v>
      </c>
      <c r="B19" s="202">
        <v>200040189</v>
      </c>
      <c r="C19" s="204" t="s">
        <v>7</v>
      </c>
      <c r="D19" s="205" t="s">
        <v>123</v>
      </c>
      <c r="E19" s="211">
        <v>1150.5519999999999</v>
      </c>
      <c r="F19" s="212">
        <v>36.24</v>
      </c>
      <c r="G19" s="213">
        <v>1114.3119999999999</v>
      </c>
      <c r="H19" s="212">
        <v>1014.27</v>
      </c>
      <c r="I19" s="137">
        <v>0.91022083581618074</v>
      </c>
      <c r="J19" s="214">
        <v>190570.46799999999</v>
      </c>
    </row>
    <row r="20" spans="1:10" x14ac:dyDescent="0.35">
      <c r="A20" s="203" t="s">
        <v>221</v>
      </c>
      <c r="B20" s="202">
        <v>200040875</v>
      </c>
      <c r="C20" s="204" t="s">
        <v>137</v>
      </c>
      <c r="D20" s="205" t="s">
        <v>123</v>
      </c>
      <c r="E20" s="211">
        <v>1562.269</v>
      </c>
      <c r="F20" s="212">
        <v>30.85</v>
      </c>
      <c r="G20" s="213">
        <v>1531.4190000000001</v>
      </c>
      <c r="H20" s="212">
        <v>1440.221</v>
      </c>
      <c r="I20" s="137">
        <v>0.94044869496852268</v>
      </c>
      <c r="J20" s="214">
        <v>390291.40899999999</v>
      </c>
    </row>
    <row r="21" spans="1:10" x14ac:dyDescent="0.35">
      <c r="A21" s="203" t="s">
        <v>221</v>
      </c>
      <c r="B21" s="202">
        <v>200041414</v>
      </c>
      <c r="C21" s="204" t="s">
        <v>138</v>
      </c>
      <c r="D21" s="205" t="s">
        <v>123</v>
      </c>
      <c r="E21" s="211">
        <v>1787.2840000000001</v>
      </c>
      <c r="F21" s="212">
        <v>48.65</v>
      </c>
      <c r="G21" s="213">
        <v>1738.634</v>
      </c>
      <c r="H21" s="212">
        <v>1571.606</v>
      </c>
      <c r="I21" s="137">
        <v>0.90393147724017819</v>
      </c>
      <c r="J21" s="214">
        <v>637089.82999999996</v>
      </c>
    </row>
    <row r="22" spans="1:10" x14ac:dyDescent="0.35">
      <c r="A22" s="203" t="s">
        <v>221</v>
      </c>
      <c r="B22" s="202">
        <v>200042435</v>
      </c>
      <c r="C22" s="204" t="s">
        <v>139</v>
      </c>
      <c r="D22" s="205" t="s">
        <v>123</v>
      </c>
      <c r="E22" s="211">
        <v>2146.7199999999998</v>
      </c>
      <c r="F22" s="212">
        <v>225.58</v>
      </c>
      <c r="G22" s="213">
        <v>1921.14</v>
      </c>
      <c r="H22" s="212">
        <v>486.71</v>
      </c>
      <c r="I22" s="137">
        <v>0.2533443684479007</v>
      </c>
      <c r="J22" s="214">
        <v>118549.09</v>
      </c>
    </row>
    <row r="23" spans="1:10" x14ac:dyDescent="0.35">
      <c r="A23" s="203" t="s">
        <v>221</v>
      </c>
      <c r="B23" s="202">
        <v>200042992</v>
      </c>
      <c r="C23" s="204" t="s">
        <v>140</v>
      </c>
      <c r="D23" s="205" t="s">
        <v>123</v>
      </c>
      <c r="E23" s="211">
        <v>1312.9059999999999</v>
      </c>
      <c r="F23" s="212">
        <v>240</v>
      </c>
      <c r="G23" s="213">
        <v>1072.9059999999999</v>
      </c>
      <c r="H23" s="212">
        <v>632.76400000000001</v>
      </c>
      <c r="I23" s="137">
        <v>0.58976648466874082</v>
      </c>
      <c r="J23" s="214">
        <v>269565.424</v>
      </c>
    </row>
    <row r="24" spans="1:10" x14ac:dyDescent="0.35">
      <c r="A24" s="203" t="s">
        <v>221</v>
      </c>
      <c r="B24" s="202">
        <v>200043647</v>
      </c>
      <c r="C24" s="204" t="s">
        <v>141</v>
      </c>
      <c r="D24" s="205" t="s">
        <v>123</v>
      </c>
      <c r="E24" s="211">
        <v>606.46199999999999</v>
      </c>
      <c r="F24" s="212">
        <v>0</v>
      </c>
      <c r="G24" s="213">
        <v>606.46199999999999</v>
      </c>
      <c r="H24" s="212">
        <v>31.195</v>
      </c>
      <c r="I24" s="137">
        <v>5.1437682822666551E-2</v>
      </c>
      <c r="J24" s="214">
        <v>22000.9</v>
      </c>
    </row>
    <row r="25" spans="1:10" x14ac:dyDescent="0.35">
      <c r="A25" s="203" t="s">
        <v>221</v>
      </c>
      <c r="B25" s="202">
        <v>200044538</v>
      </c>
      <c r="C25" s="204" t="s">
        <v>142</v>
      </c>
      <c r="D25" s="205" t="s">
        <v>123</v>
      </c>
      <c r="E25" s="211">
        <v>650.85599999999999</v>
      </c>
      <c r="F25" s="212">
        <v>13.3</v>
      </c>
      <c r="G25" s="213">
        <v>637.55600000000004</v>
      </c>
      <c r="H25" s="212">
        <v>421.64600000000002</v>
      </c>
      <c r="I25" s="137">
        <v>0.66134739536605414</v>
      </c>
      <c r="J25" s="214">
        <v>92195.96</v>
      </c>
    </row>
    <row r="26" spans="1:10" x14ac:dyDescent="0.35">
      <c r="A26" s="203" t="s">
        <v>221</v>
      </c>
      <c r="B26" s="202">
        <v>200049625</v>
      </c>
      <c r="C26" s="204" t="s">
        <v>8</v>
      </c>
      <c r="D26" s="205" t="s">
        <v>123</v>
      </c>
      <c r="E26" s="211">
        <v>1787.8810000000001</v>
      </c>
      <c r="F26" s="212">
        <v>4.2</v>
      </c>
      <c r="G26" s="213">
        <v>1783.681</v>
      </c>
      <c r="H26" s="212">
        <v>1774.126</v>
      </c>
      <c r="I26" s="137">
        <v>0.99464310041986204</v>
      </c>
      <c r="J26" s="214">
        <v>646276.60499999998</v>
      </c>
    </row>
    <row r="27" spans="1:10" x14ac:dyDescent="0.35">
      <c r="A27" s="203" t="s">
        <v>221</v>
      </c>
      <c r="B27" s="202">
        <v>200050751</v>
      </c>
      <c r="C27" s="204" t="s">
        <v>143</v>
      </c>
      <c r="D27" s="205" t="s">
        <v>123</v>
      </c>
      <c r="E27" s="211">
        <v>519.38499999999999</v>
      </c>
      <c r="F27" s="212">
        <v>0</v>
      </c>
      <c r="G27" s="213">
        <v>519.38499999999999</v>
      </c>
      <c r="H27" s="212">
        <v>506.142</v>
      </c>
      <c r="I27" s="137">
        <v>0.97450253665392728</v>
      </c>
      <c r="J27" s="214">
        <v>139501.155</v>
      </c>
    </row>
    <row r="28" spans="1:10" x14ac:dyDescent="0.35">
      <c r="A28" s="203" t="s">
        <v>221</v>
      </c>
      <c r="B28" s="202">
        <v>200055084</v>
      </c>
      <c r="C28" s="204" t="s">
        <v>144</v>
      </c>
      <c r="D28" s="205" t="s">
        <v>123</v>
      </c>
      <c r="E28" s="211">
        <v>252.40799999999999</v>
      </c>
      <c r="F28" s="212">
        <v>1.6</v>
      </c>
      <c r="G28" s="213">
        <v>250.80799999999999</v>
      </c>
      <c r="H28" s="212">
        <v>211.31399999999999</v>
      </c>
      <c r="I28" s="137">
        <v>0.84253293355873815</v>
      </c>
      <c r="J28" s="214">
        <v>69001.824999999997</v>
      </c>
    </row>
    <row r="29" spans="1:10" x14ac:dyDescent="0.35">
      <c r="A29" s="203" t="s">
        <v>221</v>
      </c>
      <c r="B29" s="202">
        <v>200079202</v>
      </c>
      <c r="C29" s="204" t="s">
        <v>145</v>
      </c>
      <c r="D29" s="205" t="s">
        <v>123</v>
      </c>
      <c r="E29" s="211">
        <v>1681.479</v>
      </c>
      <c r="F29" s="212">
        <v>0</v>
      </c>
      <c r="G29" s="213">
        <v>1681.479</v>
      </c>
      <c r="H29" s="212">
        <v>1526.3009999999999</v>
      </c>
      <c r="I29" s="137">
        <v>0.90771338803517621</v>
      </c>
      <c r="J29" s="214">
        <v>47542.8</v>
      </c>
    </row>
    <row r="30" spans="1:10" x14ac:dyDescent="0.35">
      <c r="A30" s="203" t="s">
        <v>221</v>
      </c>
      <c r="B30" s="202">
        <v>200095578</v>
      </c>
      <c r="C30" s="204" t="s">
        <v>146</v>
      </c>
      <c r="D30" s="205" t="s">
        <v>123</v>
      </c>
      <c r="E30" s="211">
        <v>13.555999999999999</v>
      </c>
      <c r="F30" s="212">
        <v>2.85</v>
      </c>
      <c r="G30" s="213">
        <v>10.706</v>
      </c>
      <c r="H30" s="212">
        <v>0</v>
      </c>
      <c r="I30" s="137">
        <v>0</v>
      </c>
      <c r="J30" s="214">
        <v>0</v>
      </c>
    </row>
    <row r="31" spans="1:10" x14ac:dyDescent="0.35">
      <c r="A31" s="203" t="s">
        <v>221</v>
      </c>
      <c r="B31" s="202">
        <v>200106717</v>
      </c>
      <c r="C31" s="204" t="s">
        <v>147</v>
      </c>
      <c r="D31" s="205" t="s">
        <v>123</v>
      </c>
      <c r="E31" s="211">
        <v>581.19200000000001</v>
      </c>
      <c r="F31" s="212">
        <v>0</v>
      </c>
      <c r="G31" s="213">
        <v>581.19200000000001</v>
      </c>
      <c r="H31" s="212">
        <v>215.54</v>
      </c>
      <c r="I31" s="137">
        <v>0.37085851147297277</v>
      </c>
      <c r="J31" s="214">
        <v>59427.527999999998</v>
      </c>
    </row>
    <row r="32" spans="1:10" x14ac:dyDescent="0.35">
      <c r="A32" s="203" t="s">
        <v>221</v>
      </c>
      <c r="B32" s="202">
        <v>200107653</v>
      </c>
      <c r="C32" s="204" t="s">
        <v>148</v>
      </c>
      <c r="D32" s="205" t="s">
        <v>123</v>
      </c>
      <c r="E32" s="211">
        <v>766.56600000000003</v>
      </c>
      <c r="F32" s="212">
        <v>8.0549999999999997</v>
      </c>
      <c r="G32" s="213">
        <v>758.51099999999997</v>
      </c>
      <c r="H32" s="212">
        <v>663.35699999999997</v>
      </c>
      <c r="I32" s="137">
        <v>0.87455158857287496</v>
      </c>
      <c r="J32" s="214">
        <v>294463.435</v>
      </c>
    </row>
    <row r="33" spans="1:10" x14ac:dyDescent="0.35">
      <c r="A33" s="203" t="s">
        <v>221</v>
      </c>
      <c r="B33" s="202">
        <v>200135519</v>
      </c>
      <c r="C33" s="204" t="s">
        <v>78</v>
      </c>
      <c r="D33" s="205" t="s">
        <v>123</v>
      </c>
      <c r="E33" s="211">
        <v>1109.2249999999999</v>
      </c>
      <c r="F33" s="212">
        <v>23.245999999999999</v>
      </c>
      <c r="G33" s="213">
        <v>1085.979</v>
      </c>
      <c r="H33" s="212">
        <v>983.39400000000001</v>
      </c>
      <c r="I33" s="137">
        <v>0.90553684739760165</v>
      </c>
      <c r="J33" s="214">
        <v>283615.95299999998</v>
      </c>
    </row>
    <row r="34" spans="1:10" x14ac:dyDescent="0.35">
      <c r="A34" s="203" t="s">
        <v>221</v>
      </c>
      <c r="B34" s="202">
        <v>200137940</v>
      </c>
      <c r="C34" s="204" t="s">
        <v>17</v>
      </c>
      <c r="D34" s="205" t="s">
        <v>123</v>
      </c>
      <c r="E34" s="211">
        <v>1546.413</v>
      </c>
      <c r="F34" s="212">
        <v>27.163</v>
      </c>
      <c r="G34" s="213">
        <v>1519.25</v>
      </c>
      <c r="H34" s="212">
        <v>1407.67</v>
      </c>
      <c r="I34" s="137">
        <v>0.92655586638143816</v>
      </c>
      <c r="J34" s="214">
        <v>300077.16200000001</v>
      </c>
    </row>
    <row r="35" spans="1:10" x14ac:dyDescent="0.35">
      <c r="A35" s="203" t="s">
        <v>221</v>
      </c>
      <c r="B35" s="202">
        <v>200138510</v>
      </c>
      <c r="C35" s="204" t="s">
        <v>11</v>
      </c>
      <c r="D35" s="205" t="s">
        <v>123</v>
      </c>
      <c r="E35" s="211">
        <v>1180.308</v>
      </c>
      <c r="F35" s="212">
        <v>29.12</v>
      </c>
      <c r="G35" s="213">
        <v>1151.1880000000001</v>
      </c>
      <c r="H35" s="212">
        <v>1149.0329999999999</v>
      </c>
      <c r="I35" s="137">
        <v>0.99812802079243357</v>
      </c>
      <c r="J35" s="214">
        <v>486494.74900000001</v>
      </c>
    </row>
    <row r="36" spans="1:10" x14ac:dyDescent="0.35">
      <c r="A36" s="203" t="s">
        <v>221</v>
      </c>
      <c r="B36" s="202">
        <v>200140049</v>
      </c>
      <c r="C36" s="204" t="s">
        <v>18</v>
      </c>
      <c r="D36" s="205" t="s">
        <v>123</v>
      </c>
      <c r="E36" s="211">
        <v>589.59900000000005</v>
      </c>
      <c r="F36" s="212">
        <v>4.03</v>
      </c>
      <c r="G36" s="213">
        <v>585.56899999999996</v>
      </c>
      <c r="H36" s="212">
        <v>441.99400000000003</v>
      </c>
      <c r="I36" s="137">
        <v>0.75481113241991982</v>
      </c>
      <c r="J36" s="214">
        <v>164115.20199999999</v>
      </c>
    </row>
    <row r="37" spans="1:10" x14ac:dyDescent="0.35">
      <c r="A37" s="203" t="s">
        <v>221</v>
      </c>
      <c r="B37" s="202">
        <v>200140070</v>
      </c>
      <c r="C37" s="204" t="s">
        <v>149</v>
      </c>
      <c r="D37" s="205" t="s">
        <v>123</v>
      </c>
      <c r="E37" s="211">
        <v>1554.31</v>
      </c>
      <c r="F37" s="212">
        <v>50.91</v>
      </c>
      <c r="G37" s="213">
        <v>1503.4</v>
      </c>
      <c r="H37" s="212">
        <v>1332.011</v>
      </c>
      <c r="I37" s="137">
        <v>0.88599906877743784</v>
      </c>
      <c r="J37" s="214">
        <v>455899.46299999999</v>
      </c>
    </row>
    <row r="38" spans="1:10" x14ac:dyDescent="0.35">
      <c r="A38" s="203" t="s">
        <v>221</v>
      </c>
      <c r="B38" s="202">
        <v>200141541</v>
      </c>
      <c r="C38" s="204" t="s">
        <v>46</v>
      </c>
      <c r="D38" s="205" t="s">
        <v>123</v>
      </c>
      <c r="E38" s="211">
        <v>1446.059</v>
      </c>
      <c r="F38" s="212">
        <v>63.62</v>
      </c>
      <c r="G38" s="213">
        <v>1382.4390000000001</v>
      </c>
      <c r="H38" s="212">
        <v>1210.201</v>
      </c>
      <c r="I38" s="137">
        <v>0.87541005425917529</v>
      </c>
      <c r="J38" s="214">
        <v>374783.57799999998</v>
      </c>
    </row>
    <row r="39" spans="1:10" x14ac:dyDescent="0.35">
      <c r="A39" s="203" t="s">
        <v>221</v>
      </c>
      <c r="B39" s="202">
        <v>200159577</v>
      </c>
      <c r="C39" s="204" t="s">
        <v>150</v>
      </c>
      <c r="D39" s="205" t="s">
        <v>123</v>
      </c>
      <c r="E39" s="211">
        <v>2957.6979999999999</v>
      </c>
      <c r="F39" s="212">
        <v>73.790000000000006</v>
      </c>
      <c r="G39" s="213">
        <v>2883.9079999999999</v>
      </c>
      <c r="H39" s="212">
        <v>2817.0720000000001</v>
      </c>
      <c r="I39" s="137">
        <v>0.9768245034168912</v>
      </c>
      <c r="J39" s="214">
        <v>1131709.4939999999</v>
      </c>
    </row>
    <row r="40" spans="1:10" x14ac:dyDescent="0.35">
      <c r="A40" s="203" t="s">
        <v>221</v>
      </c>
      <c r="B40" s="202">
        <v>200159676</v>
      </c>
      <c r="C40" s="204" t="s">
        <v>208</v>
      </c>
      <c r="D40" s="205" t="s">
        <v>123</v>
      </c>
      <c r="E40" s="211">
        <v>300.60500000000002</v>
      </c>
      <c r="F40" s="212">
        <v>0</v>
      </c>
      <c r="G40" s="213">
        <v>300.60500000000002</v>
      </c>
      <c r="H40" s="212">
        <v>64.632000000000005</v>
      </c>
      <c r="I40" s="137">
        <v>0.2150064037524326</v>
      </c>
      <c r="J40" s="214">
        <v>21455.200000000001</v>
      </c>
    </row>
    <row r="41" spans="1:10" x14ac:dyDescent="0.35">
      <c r="A41" s="203" t="s">
        <v>221</v>
      </c>
      <c r="B41" s="202">
        <v>200182711</v>
      </c>
      <c r="C41" s="204" t="s">
        <v>151</v>
      </c>
      <c r="D41" s="205" t="s">
        <v>123</v>
      </c>
      <c r="E41" s="211">
        <v>25.571999999999999</v>
      </c>
      <c r="F41" s="212">
        <v>0</v>
      </c>
      <c r="G41" s="213">
        <v>25.571999999999999</v>
      </c>
      <c r="H41" s="212">
        <v>14.246</v>
      </c>
      <c r="I41" s="137">
        <v>0.55709369623025184</v>
      </c>
      <c r="J41" s="214">
        <v>12728.46</v>
      </c>
    </row>
    <row r="42" spans="1:10" x14ac:dyDescent="0.35">
      <c r="A42" s="203" t="s">
        <v>221</v>
      </c>
      <c r="B42" s="202">
        <v>200220246</v>
      </c>
      <c r="C42" s="204" t="s">
        <v>227</v>
      </c>
      <c r="D42" s="205" t="s">
        <v>123</v>
      </c>
      <c r="E42" s="211">
        <v>30.079000000000001</v>
      </c>
      <c r="F42" s="212">
        <v>0</v>
      </c>
      <c r="G42" s="213">
        <v>30.079000000000001</v>
      </c>
      <c r="H42" s="212">
        <v>25.853999999999999</v>
      </c>
      <c r="I42" s="137">
        <v>0.85953655374181326</v>
      </c>
      <c r="J42" s="214">
        <v>0</v>
      </c>
    </row>
    <row r="43" spans="1:10" x14ac:dyDescent="0.35">
      <c r="A43" s="203" t="s">
        <v>221</v>
      </c>
      <c r="B43" s="202">
        <v>200221267</v>
      </c>
      <c r="C43" s="204" t="s">
        <v>265</v>
      </c>
      <c r="D43" s="205" t="s">
        <v>123</v>
      </c>
      <c r="E43" s="211">
        <v>1069.2850000000001</v>
      </c>
      <c r="F43" s="212">
        <v>18</v>
      </c>
      <c r="G43" s="213">
        <v>1051.2850000000001</v>
      </c>
      <c r="H43" s="212">
        <v>309.68700000000001</v>
      </c>
      <c r="I43" s="137">
        <v>0.29457949081362333</v>
      </c>
      <c r="J43" s="214">
        <v>103593.26</v>
      </c>
    </row>
    <row r="44" spans="1:10" x14ac:dyDescent="0.35">
      <c r="A44" s="203" t="s">
        <v>221</v>
      </c>
      <c r="B44" s="202">
        <v>200225982</v>
      </c>
      <c r="C44" s="204" t="s">
        <v>243</v>
      </c>
      <c r="D44" s="205" t="s">
        <v>123</v>
      </c>
      <c r="E44" s="211">
        <v>138</v>
      </c>
      <c r="F44" s="212">
        <v>0</v>
      </c>
      <c r="G44" s="213">
        <v>138</v>
      </c>
      <c r="H44" s="212">
        <v>138</v>
      </c>
      <c r="I44" s="137">
        <v>1</v>
      </c>
      <c r="J44" s="214">
        <v>37812</v>
      </c>
    </row>
    <row r="45" spans="1:10" x14ac:dyDescent="0.35">
      <c r="A45" s="203" t="s">
        <v>221</v>
      </c>
      <c r="B45" s="202">
        <v>200230108</v>
      </c>
      <c r="C45" s="204" t="s">
        <v>250</v>
      </c>
      <c r="D45" s="205" t="s">
        <v>123</v>
      </c>
      <c r="E45" s="211">
        <v>1726.367</v>
      </c>
      <c r="F45" s="212">
        <v>34.5</v>
      </c>
      <c r="G45" s="213">
        <v>1691.867</v>
      </c>
      <c r="H45" s="212">
        <v>381.05599999999998</v>
      </c>
      <c r="I45" s="137">
        <v>0.22522810599178303</v>
      </c>
      <c r="J45" s="214">
        <v>153241.93</v>
      </c>
    </row>
    <row r="46" spans="1:10" x14ac:dyDescent="0.35">
      <c r="A46" s="203" t="s">
        <v>221</v>
      </c>
      <c r="B46" s="202">
        <v>200512464</v>
      </c>
      <c r="C46" s="204" t="s">
        <v>15</v>
      </c>
      <c r="D46" s="205" t="s">
        <v>123</v>
      </c>
      <c r="E46" s="211">
        <v>1615.8130000000001</v>
      </c>
      <c r="F46" s="212">
        <v>37.78</v>
      </c>
      <c r="G46" s="213">
        <v>1578.0329999999999</v>
      </c>
      <c r="H46" s="212">
        <v>1558.0329999999999</v>
      </c>
      <c r="I46" s="137">
        <v>0.98732599381635233</v>
      </c>
      <c r="J46" s="214">
        <v>369825.29800000001</v>
      </c>
    </row>
    <row r="47" spans="1:10" x14ac:dyDescent="0.35">
      <c r="A47" s="203" t="s">
        <v>221</v>
      </c>
      <c r="B47" s="202">
        <v>200514277</v>
      </c>
      <c r="C47" s="204" t="s">
        <v>96</v>
      </c>
      <c r="D47" s="205" t="s">
        <v>266</v>
      </c>
      <c r="E47" s="211">
        <v>1252.9839999999999</v>
      </c>
      <c r="F47" s="212">
        <v>39.43</v>
      </c>
      <c r="G47" s="213">
        <v>1213.5540000000001</v>
      </c>
      <c r="H47" s="212">
        <v>1124.9090000000001</v>
      </c>
      <c r="I47" s="137">
        <v>0.92695421876570805</v>
      </c>
      <c r="J47" s="214">
        <v>312889.342</v>
      </c>
    </row>
    <row r="48" spans="1:10" x14ac:dyDescent="0.35">
      <c r="A48" s="203" t="s">
        <v>221</v>
      </c>
      <c r="B48" s="202">
        <v>200525099</v>
      </c>
      <c r="C48" s="204" t="s">
        <v>152</v>
      </c>
      <c r="D48" s="205" t="s">
        <v>267</v>
      </c>
      <c r="E48" s="211">
        <v>1139.777</v>
      </c>
      <c r="F48" s="212">
        <v>0</v>
      </c>
      <c r="G48" s="213">
        <v>1139.777</v>
      </c>
      <c r="H48" s="212">
        <v>655.01099999999997</v>
      </c>
      <c r="I48" s="137">
        <v>0.57468346878380594</v>
      </c>
      <c r="J48" s="214">
        <v>179205.386</v>
      </c>
    </row>
    <row r="49" spans="1:10" x14ac:dyDescent="0.35">
      <c r="A49" s="203" t="s">
        <v>221</v>
      </c>
      <c r="B49" s="202">
        <v>200531038</v>
      </c>
      <c r="C49" s="204" t="s">
        <v>154</v>
      </c>
      <c r="D49" s="205" t="s">
        <v>268</v>
      </c>
      <c r="E49" s="211">
        <v>7812.5990000000002</v>
      </c>
      <c r="F49" s="212">
        <v>508.41</v>
      </c>
      <c r="G49" s="213">
        <v>7304.1890000000003</v>
      </c>
      <c r="H49" s="212">
        <v>5242.3190000000004</v>
      </c>
      <c r="I49" s="137">
        <v>0.71771404053208376</v>
      </c>
      <c r="J49" s="214">
        <v>1685522.2185</v>
      </c>
    </row>
    <row r="50" spans="1:10" x14ac:dyDescent="0.35">
      <c r="A50" s="203" t="s">
        <v>221</v>
      </c>
      <c r="B50" s="202">
        <v>200536200</v>
      </c>
      <c r="C50" s="204" t="s">
        <v>155</v>
      </c>
      <c r="D50" s="205" t="s">
        <v>269</v>
      </c>
      <c r="E50" s="211">
        <v>1710.0409999999999</v>
      </c>
      <c r="F50" s="212">
        <v>158.91</v>
      </c>
      <c r="G50" s="213">
        <v>1551.1310000000001</v>
      </c>
      <c r="H50" s="212">
        <v>920.01900000000001</v>
      </c>
      <c r="I50" s="137">
        <v>0.59312785316004901</v>
      </c>
      <c r="J50" s="214">
        <v>324419.27500000002</v>
      </c>
    </row>
    <row r="51" spans="1:10" x14ac:dyDescent="0.35">
      <c r="A51" s="203" t="s">
        <v>221</v>
      </c>
      <c r="B51" s="202">
        <v>200536224</v>
      </c>
      <c r="C51" s="204" t="s">
        <v>209</v>
      </c>
      <c r="D51" s="205" t="s">
        <v>270</v>
      </c>
      <c r="E51" s="211">
        <v>1889.8589999999999</v>
      </c>
      <c r="F51" s="212">
        <v>1.75</v>
      </c>
      <c r="G51" s="213">
        <v>1888.1089999999999</v>
      </c>
      <c r="H51" s="212">
        <v>1094.7760000000001</v>
      </c>
      <c r="I51" s="137">
        <v>0.57982669432749911</v>
      </c>
      <c r="J51" s="214">
        <v>390681.63299999997</v>
      </c>
    </row>
    <row r="52" spans="1:10" x14ac:dyDescent="0.35">
      <c r="A52" s="203" t="s">
        <v>221</v>
      </c>
      <c r="B52" s="202">
        <v>200536248</v>
      </c>
      <c r="C52" s="204" t="s">
        <v>156</v>
      </c>
      <c r="D52" s="205" t="s">
        <v>123</v>
      </c>
      <c r="E52" s="211">
        <v>1731.5619999999999</v>
      </c>
      <c r="F52" s="212">
        <v>0.8</v>
      </c>
      <c r="G52" s="213">
        <v>1730.7619999999999</v>
      </c>
      <c r="H52" s="212">
        <v>926.37699999999995</v>
      </c>
      <c r="I52" s="137">
        <v>0.53524228056774992</v>
      </c>
      <c r="J52" s="214">
        <v>266519.07699999999</v>
      </c>
    </row>
    <row r="53" spans="1:10" x14ac:dyDescent="0.35">
      <c r="A53" s="203" t="s">
        <v>221</v>
      </c>
      <c r="B53" s="202">
        <v>200541495</v>
      </c>
      <c r="C53" s="204" t="s">
        <v>157</v>
      </c>
      <c r="D53" s="205" t="s">
        <v>271</v>
      </c>
      <c r="E53" s="211">
        <v>1617.1179999999999</v>
      </c>
      <c r="F53" s="212">
        <v>30.423999999999999</v>
      </c>
      <c r="G53" s="213">
        <v>1586.694</v>
      </c>
      <c r="H53" s="212">
        <v>1519.5889999999999</v>
      </c>
      <c r="I53" s="137">
        <v>0.95770766133860719</v>
      </c>
      <c r="J53" s="214">
        <v>439777.66200000001</v>
      </c>
    </row>
    <row r="54" spans="1:10" x14ac:dyDescent="0.35">
      <c r="A54" s="203" t="s">
        <v>221</v>
      </c>
      <c r="B54" s="202">
        <v>200544472</v>
      </c>
      <c r="C54" s="204" t="s">
        <v>158</v>
      </c>
      <c r="D54" s="205" t="s">
        <v>272</v>
      </c>
      <c r="E54" s="211">
        <v>2595.7600000000002</v>
      </c>
      <c r="F54" s="212">
        <v>52.508000000000003</v>
      </c>
      <c r="G54" s="213">
        <v>2543.252</v>
      </c>
      <c r="H54" s="212">
        <v>2083.3589999999999</v>
      </c>
      <c r="I54" s="137">
        <v>0.81917128149314344</v>
      </c>
      <c r="J54" s="214">
        <v>705144.22199999995</v>
      </c>
    </row>
    <row r="55" spans="1:10" x14ac:dyDescent="0.35">
      <c r="A55" s="203" t="s">
        <v>221</v>
      </c>
      <c r="B55" s="202">
        <v>200544489</v>
      </c>
      <c r="C55" s="204" t="s">
        <v>26</v>
      </c>
      <c r="D55" s="205" t="s">
        <v>273</v>
      </c>
      <c r="E55" s="211">
        <v>1407.8409999999999</v>
      </c>
      <c r="F55" s="212">
        <v>39.466000000000001</v>
      </c>
      <c r="G55" s="213">
        <v>1368.375</v>
      </c>
      <c r="H55" s="212">
        <v>986.32799999999997</v>
      </c>
      <c r="I55" s="137">
        <v>0.72080241161962177</v>
      </c>
      <c r="J55" s="214">
        <v>258634.86</v>
      </c>
    </row>
    <row r="56" spans="1:10" x14ac:dyDescent="0.35">
      <c r="A56" s="203" t="s">
        <v>221</v>
      </c>
      <c r="B56" s="202">
        <v>200652832</v>
      </c>
      <c r="C56" s="204" t="s">
        <v>159</v>
      </c>
      <c r="D56" s="205" t="s">
        <v>274</v>
      </c>
      <c r="E56" s="211">
        <v>1964.7760000000001</v>
      </c>
      <c r="F56" s="212">
        <v>0.8</v>
      </c>
      <c r="G56" s="213">
        <v>1963.9760000000001</v>
      </c>
      <c r="H56" s="212">
        <v>1484.5719999999999</v>
      </c>
      <c r="I56" s="137">
        <v>0.75590129410950035</v>
      </c>
      <c r="J56" s="214">
        <v>439564.723</v>
      </c>
    </row>
    <row r="57" spans="1:10" x14ac:dyDescent="0.35">
      <c r="A57" s="203" t="s">
        <v>221</v>
      </c>
      <c r="B57" s="202">
        <v>200652849</v>
      </c>
      <c r="C57" s="204" t="s">
        <v>160</v>
      </c>
      <c r="D57" s="205" t="s">
        <v>123</v>
      </c>
      <c r="E57" s="211">
        <v>1646.1</v>
      </c>
      <c r="F57" s="212">
        <v>13.15</v>
      </c>
      <c r="G57" s="213">
        <v>1632.95</v>
      </c>
      <c r="H57" s="212">
        <v>851.91200000000003</v>
      </c>
      <c r="I57" s="137">
        <v>0.52170121559141436</v>
      </c>
      <c r="J57" s="214">
        <v>379700.685</v>
      </c>
    </row>
    <row r="58" spans="1:10" x14ac:dyDescent="0.35">
      <c r="A58" s="203" t="s">
        <v>221</v>
      </c>
      <c r="B58" s="202">
        <v>200652900</v>
      </c>
      <c r="C58" s="204" t="s">
        <v>161</v>
      </c>
      <c r="D58" s="205" t="s">
        <v>123</v>
      </c>
      <c r="E58" s="211">
        <v>1300.8679999999999</v>
      </c>
      <c r="F58" s="212">
        <v>0</v>
      </c>
      <c r="G58" s="213">
        <v>1300.8679999999999</v>
      </c>
      <c r="H58" s="212">
        <v>262.47399999999999</v>
      </c>
      <c r="I58" s="137">
        <v>0.20176835774267643</v>
      </c>
      <c r="J58" s="214">
        <v>230112.78</v>
      </c>
    </row>
    <row r="59" spans="1:10" x14ac:dyDescent="0.35">
      <c r="A59" s="203" t="s">
        <v>221</v>
      </c>
      <c r="B59" s="202">
        <v>200692968</v>
      </c>
      <c r="C59" s="204" t="s">
        <v>162</v>
      </c>
      <c r="D59" s="205" t="s">
        <v>275</v>
      </c>
      <c r="E59" s="211">
        <v>20728.563999999998</v>
      </c>
      <c r="F59" s="212">
        <v>2499.5949999999998</v>
      </c>
      <c r="G59" s="213">
        <v>18228.969000000001</v>
      </c>
      <c r="H59" s="212">
        <v>5838.8029999999999</v>
      </c>
      <c r="I59" s="137">
        <v>0.32030352347409224</v>
      </c>
      <c r="J59" s="214">
        <v>4272555.0240000002</v>
      </c>
    </row>
    <row r="60" spans="1:10" x14ac:dyDescent="0.35">
      <c r="A60" s="203" t="s">
        <v>221</v>
      </c>
      <c r="B60" s="202">
        <v>200809045</v>
      </c>
      <c r="C60" s="204" t="s">
        <v>13</v>
      </c>
      <c r="D60" s="205" t="s">
        <v>276</v>
      </c>
      <c r="E60" s="211">
        <v>2436.299</v>
      </c>
      <c r="F60" s="212">
        <v>90.2</v>
      </c>
      <c r="G60" s="213">
        <v>2346.0990000000002</v>
      </c>
      <c r="H60" s="212">
        <v>2345.1990000000001</v>
      </c>
      <c r="I60" s="137">
        <v>0.99961638447482393</v>
      </c>
      <c r="J60" s="214">
        <v>835205.67200000002</v>
      </c>
    </row>
    <row r="61" spans="1:10" x14ac:dyDescent="0.35">
      <c r="A61" s="202" t="s">
        <v>123</v>
      </c>
      <c r="B61" s="202" t="s">
        <v>123</v>
      </c>
      <c r="C61" s="204" t="s">
        <v>123</v>
      </c>
      <c r="D61" s="202" t="s">
        <v>123</v>
      </c>
      <c r="E61" s="215">
        <v>100325.22199999999</v>
      </c>
      <c r="F61" s="215">
        <v>5324.7389999999996</v>
      </c>
      <c r="G61" s="215">
        <v>95000.482999999993</v>
      </c>
      <c r="H61" s="215">
        <v>63845.695</v>
      </c>
      <c r="I61" s="138">
        <v>0.67205653049153447</v>
      </c>
      <c r="J61" s="216">
        <v>22244748.5185</v>
      </c>
    </row>
    <row r="62" spans="1:10" ht="0" hidden="1" customHeight="1" x14ac:dyDescent="0.35"/>
  </sheetData>
  <mergeCells count="3">
    <mergeCell ref="A1:F1"/>
    <mergeCell ref="A2:F2"/>
    <mergeCell ref="E4:I4"/>
  </mergeCells>
  <pageMargins left="0.98425196850393704" right="0.98425196850393704" top="0.98425196850393704" bottom="0.98425196850393704" header="0.98425196850393704" footer="0.98425196850393704"/>
  <pageSetup paperSize="9" orientation="portrait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2F92CD-421D-485F-A09E-744EE6D43BD2}">
  <dimension ref="A1:N69"/>
  <sheetViews>
    <sheetView topLeftCell="A34" workbookViewId="0">
      <selection activeCell="H9" activeCellId="1" sqref="H14 H9"/>
    </sheetView>
  </sheetViews>
  <sheetFormatPr defaultColWidth="8.7265625" defaultRowHeight="14.5" x14ac:dyDescent="0.35"/>
  <cols>
    <col min="1" max="1" width="17.453125" style="102" bestFit="1" customWidth="1"/>
    <col min="2" max="2" width="35.54296875" style="102" bestFit="1" customWidth="1"/>
    <col min="3" max="4" width="35.54296875" style="102" hidden="1" customWidth="1"/>
    <col min="5" max="5" width="31.81640625" style="102" customWidth="1"/>
    <col min="6" max="7" width="31.81640625" style="102" hidden="1" customWidth="1"/>
    <col min="8" max="8" width="20.1796875" style="129" customWidth="1"/>
    <col min="9" max="11" width="8.7265625" style="102"/>
    <col min="12" max="12" width="16.81640625" style="102" customWidth="1"/>
    <col min="13" max="16384" width="8.7265625" style="102"/>
  </cols>
  <sheetData>
    <row r="1" spans="1:14" s="101" customFormat="1" ht="13" x14ac:dyDescent="0.3">
      <c r="A1" s="101" t="s">
        <v>177</v>
      </c>
      <c r="B1" s="101" t="s">
        <v>178</v>
      </c>
      <c r="E1" s="101" t="s">
        <v>234</v>
      </c>
      <c r="H1" s="128" t="s">
        <v>235</v>
      </c>
    </row>
    <row r="2" spans="1:14" x14ac:dyDescent="0.35">
      <c r="A2" s="131">
        <v>1004359</v>
      </c>
      <c r="B2" s="200" t="s">
        <v>201</v>
      </c>
      <c r="E2" s="130">
        <f>+VLOOKUP(A2,'[1]Oktober-december'!$A$2:$F$53,5,FALSE)</f>
        <v>98.927999999999997</v>
      </c>
      <c r="F2" s="130"/>
      <c r="G2" s="130"/>
      <c r="H2" s="130">
        <f>+VLOOKUP(A2,'[1]Oktober-december'!$A$2:$F$53,6,FALSE)</f>
        <v>390.57400000000001</v>
      </c>
    </row>
    <row r="3" spans="1:14" x14ac:dyDescent="0.35">
      <c r="A3" s="131">
        <v>1043650</v>
      </c>
      <c r="B3" s="200" t="s">
        <v>9</v>
      </c>
      <c r="E3" s="130">
        <f>+VLOOKUP(A3,'[1]Oktober-december'!$A$2:$F$53,5,FALSE)</f>
        <v>683.18799999999999</v>
      </c>
      <c r="F3" s="130"/>
      <c r="G3" s="130"/>
      <c r="H3" s="130">
        <f>+VLOOKUP(A3,'[1]Oktober-december'!$A$2:$F$53,6,FALSE)</f>
        <v>879.49099999999999</v>
      </c>
    </row>
    <row r="4" spans="1:14" x14ac:dyDescent="0.35">
      <c r="A4" s="131">
        <v>1066946</v>
      </c>
      <c r="B4" s="200" t="s">
        <v>211</v>
      </c>
      <c r="E4" s="130">
        <f>+VLOOKUP(A4,'[1]Oktober-december'!$A$2:$F$53,5,FALSE)</f>
        <v>147.23099999999999</v>
      </c>
      <c r="F4" s="130"/>
      <c r="G4" s="130"/>
      <c r="H4" s="130">
        <f>+VLOOKUP(A4,'[1]Oktober-december'!$A$2:$F$53,6,FALSE)</f>
        <v>200.25700000000001</v>
      </c>
    </row>
    <row r="5" spans="1:14" x14ac:dyDescent="0.35">
      <c r="A5" s="131">
        <v>1088515</v>
      </c>
      <c r="B5" s="200" t="s">
        <v>187</v>
      </c>
      <c r="E5" s="130">
        <f>+VLOOKUP(A5,'[1]Oktober-december'!$A$2:$F$53,5,FALSE)</f>
        <v>71.441000000000003</v>
      </c>
      <c r="F5" s="130"/>
      <c r="G5" s="130"/>
      <c r="H5" s="130">
        <f>+VLOOKUP(A5,'[1]Oktober-december'!$A$2:$F$53,6,FALSE)</f>
        <v>210.68899999999999</v>
      </c>
    </row>
    <row r="6" spans="1:14" x14ac:dyDescent="0.35">
      <c r="A6" s="131">
        <v>1091281</v>
      </c>
      <c r="B6" s="200" t="s">
        <v>188</v>
      </c>
      <c r="E6" s="130">
        <f>+VLOOKUP(A6,'[1]Oktober-december'!$A$2:$F$53,5,FALSE)</f>
        <v>142.85499999999999</v>
      </c>
      <c r="F6" s="130"/>
      <c r="G6" s="130"/>
      <c r="H6" s="130">
        <f>+VLOOKUP(A6,'[1]Oktober-december'!$A$2:$F$53,6,FALSE)</f>
        <v>1604.6420000000001</v>
      </c>
    </row>
    <row r="7" spans="1:14" x14ac:dyDescent="0.35">
      <c r="A7" s="131">
        <v>1096809</v>
      </c>
      <c r="B7" s="200" t="s">
        <v>199</v>
      </c>
      <c r="E7" s="130">
        <f>+VLOOKUP(A7,'[1]Oktober-december'!$A$2:$F$53,5,FALSE)</f>
        <v>0</v>
      </c>
      <c r="F7" s="130"/>
      <c r="G7" s="130"/>
      <c r="H7" s="130">
        <f>+VLOOKUP(A7,'[1]Oktober-december'!$A$2:$F$53,6,FALSE)</f>
        <v>13.98</v>
      </c>
    </row>
    <row r="8" spans="1:14" x14ac:dyDescent="0.35">
      <c r="A8" s="131">
        <v>1098703</v>
      </c>
      <c r="B8" s="200" t="s">
        <v>198</v>
      </c>
      <c r="E8" s="130">
        <f>+VLOOKUP(A8,'[1]Oktober-december'!$A$2:$F$53,5,FALSE)</f>
        <v>14.938000000000001</v>
      </c>
      <c r="F8" s="130"/>
      <c r="G8" s="130"/>
      <c r="H8" s="130">
        <f>+VLOOKUP(A8,'[1]Oktober-december'!$A$2:$F$53,6,FALSE)</f>
        <v>419.69799999999998</v>
      </c>
    </row>
    <row r="9" spans="1:14" x14ac:dyDescent="0.35">
      <c r="A9" s="131">
        <v>1111606</v>
      </c>
      <c r="B9" s="200" t="s">
        <v>190</v>
      </c>
      <c r="E9" s="130">
        <f>+VLOOKUP(A9,'[1]Oktober-december'!$A$2:$F$53,5,FALSE)</f>
        <v>20.384</v>
      </c>
      <c r="F9" s="130"/>
      <c r="G9" s="130"/>
      <c r="H9" s="130">
        <f>+VLOOKUP(A9,'[1]Oktober-december'!$A$2:$F$53,6,FALSE)</f>
        <v>219.06</v>
      </c>
    </row>
    <row r="10" spans="1:14" x14ac:dyDescent="0.35">
      <c r="A10" s="131">
        <v>1174958</v>
      </c>
      <c r="B10" s="102" t="s">
        <v>254</v>
      </c>
      <c r="E10" s="130"/>
      <c r="F10" s="130"/>
      <c r="G10" s="130"/>
      <c r="H10" s="130"/>
    </row>
    <row r="11" spans="1:14" x14ac:dyDescent="0.35">
      <c r="A11" s="131">
        <v>1123703</v>
      </c>
      <c r="B11" s="200" t="s">
        <v>85</v>
      </c>
      <c r="E11" s="130">
        <f>+VLOOKUP(A11,'[1]Oktober-december'!$A$2:$F$53,5,FALSE)</f>
        <v>28.934999999999999</v>
      </c>
      <c r="F11" s="130"/>
      <c r="G11" s="130"/>
      <c r="H11" s="130">
        <f>+VLOOKUP(A11,'[1]Oktober-december'!$A$2:$F$53,6,FALSE)</f>
        <v>317.08699999999999</v>
      </c>
    </row>
    <row r="12" spans="1:14" x14ac:dyDescent="0.35">
      <c r="A12" s="131">
        <v>1128479</v>
      </c>
      <c r="B12" s="200" t="s">
        <v>189</v>
      </c>
      <c r="E12" s="130">
        <f>+VLOOKUP(A12,'[1]Oktober-december'!$A$2:$F$53,5,FALSE)</f>
        <v>241.72499999999999</v>
      </c>
      <c r="F12" s="130"/>
      <c r="G12" s="130"/>
      <c r="H12" s="130">
        <f>+VLOOKUP(A12,'[1]Oktober-december'!$A$2:$F$53,6,FALSE)</f>
        <v>980.47900000000004</v>
      </c>
    </row>
    <row r="13" spans="1:14" x14ac:dyDescent="0.35">
      <c r="A13" s="131">
        <v>1136302</v>
      </c>
      <c r="B13" s="200" t="s">
        <v>185</v>
      </c>
      <c r="E13" s="130">
        <f>+VLOOKUP(A13,'[1]Oktober-december'!$A$2:$F$53,5,FALSE)</f>
        <v>128.673</v>
      </c>
      <c r="F13" s="130"/>
      <c r="G13" s="130"/>
      <c r="H13" s="130">
        <f>+VLOOKUP(A13,'[1]Oktober-december'!$A$2:$F$53,6,FALSE)</f>
        <v>431.608</v>
      </c>
    </row>
    <row r="14" spans="1:14" x14ac:dyDescent="0.35">
      <c r="A14" s="131">
        <v>1145780</v>
      </c>
      <c r="B14" s="200" t="s">
        <v>191</v>
      </c>
      <c r="E14" s="130">
        <f>+VLOOKUP(A14,'[1]Oktober-december'!$A$2:$F$53,5,FALSE)</f>
        <v>149.92099999999999</v>
      </c>
      <c r="F14" s="130"/>
      <c r="G14" s="130"/>
      <c r="H14" s="130">
        <f>+VLOOKUP(A14,'[1]Oktober-december'!$A$2:$F$53,6,FALSE)</f>
        <v>404.71499999999997</v>
      </c>
    </row>
    <row r="15" spans="1:14" x14ac:dyDescent="0.35">
      <c r="A15" s="131">
        <v>1149830</v>
      </c>
      <c r="B15" s="200" t="s">
        <v>181</v>
      </c>
      <c r="E15" s="130">
        <f>+VLOOKUP(A15,'[1]Oktober-december'!$A$2:$F$53,5,FALSE)</f>
        <v>0.34</v>
      </c>
      <c r="G15" s="130"/>
      <c r="H15" s="130">
        <f>+VLOOKUP(A15,'[1]Oktober-december'!$A$2:$F$53,6,FALSE)</f>
        <v>276.988</v>
      </c>
      <c r="K15"/>
      <c r="L15"/>
      <c r="M15"/>
      <c r="N15"/>
    </row>
    <row r="16" spans="1:14" x14ac:dyDescent="0.35">
      <c r="A16" s="131">
        <v>1192523</v>
      </c>
      <c r="B16" s="200" t="s">
        <v>181</v>
      </c>
      <c r="E16" s="130">
        <f>+VLOOKUP(A16,'[1]Oktober-december'!$A$2:$F$53,5,FALSE)</f>
        <v>40.637</v>
      </c>
      <c r="F16" s="130"/>
      <c r="G16" s="130"/>
      <c r="H16" s="130">
        <f>+VLOOKUP(A16,'[1]Oktober-december'!$A$2:$F$53,6,FALSE)</f>
        <v>439.76100000000002</v>
      </c>
    </row>
    <row r="17" spans="1:14" x14ac:dyDescent="0.35">
      <c r="A17" s="131">
        <v>1198425</v>
      </c>
      <c r="B17" s="200" t="s">
        <v>223</v>
      </c>
      <c r="E17" s="130">
        <f>+VLOOKUP(A17,'[1]Oktober-december'!$A$2:$F$53,5,FALSE)</f>
        <v>188.66499999999999</v>
      </c>
      <c r="F17" s="130"/>
      <c r="G17" s="130"/>
      <c r="H17" s="130">
        <f>+VLOOKUP(A17,'[1]Oktober-december'!$A$2:$F$53,6,FALSE)</f>
        <v>399.81400000000002</v>
      </c>
    </row>
    <row r="18" spans="1:14" x14ac:dyDescent="0.35">
      <c r="A18" s="131">
        <v>1199339</v>
      </c>
      <c r="B18" s="200" t="s">
        <v>153</v>
      </c>
      <c r="E18" s="130">
        <f>+VLOOKUP(A18,'[1]Oktober-december'!$A$2:$F$53,5,FALSE)</f>
        <v>6.46</v>
      </c>
      <c r="F18" s="130"/>
      <c r="G18" s="130"/>
      <c r="H18" s="130">
        <f>+VLOOKUP(A18,'[1]Oktober-december'!$A$2:$F$53,6,FALSE)</f>
        <v>111.541</v>
      </c>
    </row>
    <row r="19" spans="1:14" x14ac:dyDescent="0.35">
      <c r="A19" s="131">
        <v>1216525</v>
      </c>
      <c r="B19" s="200" t="s">
        <v>153</v>
      </c>
      <c r="E19" s="130">
        <f>+VLOOKUP(A19,'[1]Oktober-december'!$A$2:$F$53,5,FALSE)</f>
        <v>54.552999999999997</v>
      </c>
      <c r="F19" s="130"/>
      <c r="G19" s="130"/>
      <c r="H19" s="130">
        <f>+VLOOKUP(A19,'[1]Oktober-december'!$A$2:$F$53,6,FALSE)</f>
        <v>386.35599999999999</v>
      </c>
    </row>
    <row r="20" spans="1:14" x14ac:dyDescent="0.35">
      <c r="A20" s="131">
        <v>1218014</v>
      </c>
      <c r="B20" s="200" t="s">
        <v>179</v>
      </c>
      <c r="E20" s="130">
        <f>+VLOOKUP(A20,'[1]Oktober-december'!$A$2:$F$53,5,FALSE)</f>
        <v>328.02300000000002</v>
      </c>
      <c r="F20" s="130"/>
      <c r="G20" s="130"/>
      <c r="H20" s="130">
        <f>+VLOOKUP(A20,'[1]Oktober-december'!$A$2:$F$53,6,FALSE)</f>
        <v>2443.5680000000002</v>
      </c>
    </row>
    <row r="21" spans="1:14" x14ac:dyDescent="0.35">
      <c r="A21" s="131">
        <v>1232086</v>
      </c>
      <c r="B21" s="200" t="s">
        <v>131</v>
      </c>
      <c r="E21" s="130">
        <f>+VLOOKUP(A21,'[1]Oktober-december'!$A$2:$F$53,5,FALSE)</f>
        <v>0.16</v>
      </c>
      <c r="F21" s="130"/>
      <c r="G21" s="130"/>
      <c r="H21" s="130">
        <f>+VLOOKUP(A21,'[1]Oktober-december'!$A$2:$F$53,6,FALSE)</f>
        <v>3.6760000000000002</v>
      </c>
    </row>
    <row r="22" spans="1:14" customFormat="1" x14ac:dyDescent="0.35">
      <c r="A22">
        <v>1383843</v>
      </c>
      <c r="B22" s="201" t="s">
        <v>244</v>
      </c>
      <c r="E22" s="130">
        <f>+VLOOKUP(A22,'[1]Oktober-december'!$A$2:$F$53,5,FALSE)</f>
        <v>19.327000000000002</v>
      </c>
      <c r="F22" s="129"/>
      <c r="G22" s="129"/>
      <c r="H22" s="130">
        <f>+VLOOKUP(A22,'[1]Oktober-december'!$A$2:$F$53,6,FALSE)</f>
        <v>34.49</v>
      </c>
      <c r="K22" s="102"/>
      <c r="L22" s="102"/>
      <c r="M22" s="102"/>
      <c r="N22" s="102"/>
    </row>
    <row r="23" spans="1:14" x14ac:dyDescent="0.35">
      <c r="A23" s="131">
        <v>1346990</v>
      </c>
      <c r="B23" s="102" t="s">
        <v>183</v>
      </c>
      <c r="E23" s="130"/>
      <c r="F23" s="130"/>
      <c r="G23" s="130"/>
      <c r="H23" s="130"/>
    </row>
    <row r="24" spans="1:14" x14ac:dyDescent="0.35">
      <c r="A24" s="131">
        <v>1573820</v>
      </c>
      <c r="B24" s="200" t="s">
        <v>218</v>
      </c>
      <c r="E24" s="130">
        <f>+VLOOKUP(A24,'[1]Oktober-december'!$A$2:$F$53,5,FALSE)</f>
        <v>17.068000000000001</v>
      </c>
      <c r="F24" s="130"/>
      <c r="G24" s="130"/>
      <c r="H24" s="130">
        <f>+VLOOKUP(A24,'[1]Oktober-december'!$A$2:$F$53,6,FALSE)</f>
        <v>43.890999999999998</v>
      </c>
    </row>
    <row r="25" spans="1:14" x14ac:dyDescent="0.35">
      <c r="A25" s="131">
        <v>1586293</v>
      </c>
      <c r="B25" s="102" t="s">
        <v>224</v>
      </c>
      <c r="E25" s="130"/>
      <c r="F25" s="130"/>
      <c r="G25" s="130"/>
      <c r="H25" s="130"/>
    </row>
    <row r="26" spans="1:14" x14ac:dyDescent="0.35">
      <c r="A26" s="131">
        <v>1611791</v>
      </c>
      <c r="B26" s="200" t="s">
        <v>230</v>
      </c>
      <c r="E26" s="130">
        <f>+VLOOKUP(A26,'[1]Oktober-december'!$A$2:$F$53,5,FALSE)</f>
        <v>0</v>
      </c>
      <c r="F26" s="130"/>
      <c r="G26" s="130"/>
      <c r="H26" s="130">
        <f>+VLOOKUP(A26,'[1]Oktober-december'!$A$2:$F$53,6,FALSE)</f>
        <v>52.393000000000001</v>
      </c>
    </row>
    <row r="27" spans="1:14" x14ac:dyDescent="0.35">
      <c r="A27" s="131">
        <v>1613144</v>
      </c>
      <c r="B27" s="200" t="s">
        <v>45</v>
      </c>
      <c r="E27" s="130">
        <f>+VLOOKUP(A27,'[1]Oktober-december'!$A$2:$F$53,5,FALSE)</f>
        <v>8.0950000000000006</v>
      </c>
      <c r="F27" s="130"/>
      <c r="G27" s="130"/>
      <c r="H27" s="130">
        <f>+VLOOKUP(A27,'[1]Oktober-december'!$A$2:$F$53,6,FALSE)</f>
        <v>21.131</v>
      </c>
    </row>
    <row r="28" spans="1:14" x14ac:dyDescent="0.35">
      <c r="A28" s="131">
        <v>1613945</v>
      </c>
      <c r="B28" s="200" t="s">
        <v>197</v>
      </c>
      <c r="E28" s="130">
        <f>+VLOOKUP(A28,'[1]Oktober-december'!$A$2:$F$53,5,FALSE)</f>
        <v>112.446</v>
      </c>
      <c r="F28" s="130"/>
      <c r="G28" s="130"/>
      <c r="H28" s="130">
        <f>+VLOOKUP(A28,'[1]Oktober-december'!$A$2:$F$53,6,FALSE)</f>
        <v>158.65600000000001</v>
      </c>
    </row>
    <row r="29" spans="1:14" x14ac:dyDescent="0.35">
      <c r="A29" s="131">
        <v>1839601</v>
      </c>
      <c r="B29" s="200" t="s">
        <v>180</v>
      </c>
      <c r="E29" s="130">
        <f>+VLOOKUP(A29,'[1]Oktober-december'!$A$2:$F$53,5,FALSE)</f>
        <v>118.185</v>
      </c>
      <c r="F29" s="130"/>
      <c r="G29" s="130"/>
      <c r="H29" s="130">
        <f>+VLOOKUP(A29,'[1]Oktober-december'!$A$2:$F$53,6,FALSE)</f>
        <v>478.24900000000002</v>
      </c>
    </row>
    <row r="30" spans="1:14" x14ac:dyDescent="0.35">
      <c r="A30" s="131">
        <v>1970513</v>
      </c>
      <c r="B30" s="102" t="s">
        <v>226</v>
      </c>
      <c r="E30" s="130"/>
      <c r="F30" s="130"/>
      <c r="G30" s="130"/>
      <c r="H30" s="130"/>
    </row>
    <row r="31" spans="1:14" x14ac:dyDescent="0.35">
      <c r="A31" s="131">
        <v>2144619</v>
      </c>
      <c r="B31" s="200" t="s">
        <v>200</v>
      </c>
      <c r="E31" s="130">
        <f>+VLOOKUP(A31,'[1]Oktober-december'!$A$2:$F$53,5,FALSE)</f>
        <v>467.04399999999998</v>
      </c>
      <c r="F31" s="130"/>
      <c r="G31" s="130"/>
      <c r="H31" s="130">
        <f>+VLOOKUP(A31,'[1]Oktober-december'!$A$2:$F$53,6,FALSE)</f>
        <v>1000.5650000000001</v>
      </c>
    </row>
    <row r="32" spans="1:14" x14ac:dyDescent="0.35">
      <c r="A32" s="131">
        <v>2155984</v>
      </c>
      <c r="B32" s="200" t="s">
        <v>213</v>
      </c>
      <c r="E32" s="130">
        <f>+VLOOKUP(A32,'[1]Oktober-december'!$A$2:$F$53,5,FALSE)</f>
        <v>5.48</v>
      </c>
      <c r="F32" s="130"/>
      <c r="G32" s="130"/>
      <c r="H32" s="130">
        <f>+VLOOKUP(A32,'[1]Oktober-december'!$A$2:$F$53,6,FALSE)</f>
        <v>10.058</v>
      </c>
    </row>
    <row r="33" spans="1:8" x14ac:dyDescent="0.35">
      <c r="A33" s="131">
        <v>2161308</v>
      </c>
      <c r="B33" s="200" t="s">
        <v>196</v>
      </c>
      <c r="E33" s="130">
        <f>+VLOOKUP(A33,'[1]Oktober-december'!$A$2:$F$53,5,FALSE)</f>
        <v>59.97</v>
      </c>
      <c r="F33" s="130"/>
      <c r="G33" s="130"/>
      <c r="H33" s="130">
        <f>+VLOOKUP(A33,'[1]Oktober-december'!$A$2:$F$53,6,FALSE)</f>
        <v>425.49799999999999</v>
      </c>
    </row>
    <row r="34" spans="1:8" x14ac:dyDescent="0.35">
      <c r="A34" s="131">
        <v>2162953</v>
      </c>
      <c r="B34" s="200" t="s">
        <v>193</v>
      </c>
      <c r="E34" s="130">
        <f>+VLOOKUP(A34,'[1]Oktober-december'!$A$2:$F$53,5,FALSE)</f>
        <v>58.917000000000002</v>
      </c>
      <c r="F34" s="130"/>
      <c r="G34" s="130"/>
      <c r="H34" s="130">
        <f>+VLOOKUP(A34,'[1]Oktober-december'!$A$2:$F$53,6,FALSE)</f>
        <v>68.494</v>
      </c>
    </row>
    <row r="35" spans="1:8" x14ac:dyDescent="0.35">
      <c r="A35" s="131">
        <v>2162988</v>
      </c>
      <c r="B35" s="200" t="s">
        <v>192</v>
      </c>
      <c r="E35" s="130">
        <f>+VLOOKUP(A35,'[1]Oktober-december'!$A$2:$F$53,5,FALSE)</f>
        <v>71.960999999999999</v>
      </c>
      <c r="F35" s="130"/>
      <c r="G35" s="130"/>
      <c r="H35" s="130">
        <f>+VLOOKUP(A35,'[1]Oktober-december'!$A$2:$F$53,6,FALSE)</f>
        <v>344.43700000000001</v>
      </c>
    </row>
    <row r="36" spans="1:8" x14ac:dyDescent="0.35">
      <c r="A36" s="131">
        <v>2163049</v>
      </c>
      <c r="B36" s="200" t="s">
        <v>4</v>
      </c>
      <c r="E36" s="130">
        <f>+VLOOKUP(A36,'[1]Oktober-december'!$A$2:$F$53,5,FALSE)</f>
        <v>22.402999999999999</v>
      </c>
      <c r="F36" s="130"/>
      <c r="G36" s="130"/>
      <c r="H36" s="130">
        <f>+VLOOKUP(A36,'[1]Oktober-december'!$A$2:$F$53,6,FALSE)</f>
        <v>27.234999999999999</v>
      </c>
    </row>
    <row r="37" spans="1:8" x14ac:dyDescent="0.35">
      <c r="A37" s="131">
        <v>2163076</v>
      </c>
      <c r="B37" s="102" t="s">
        <v>46</v>
      </c>
      <c r="E37" s="130"/>
      <c r="F37" s="130"/>
      <c r="G37" s="130"/>
      <c r="H37" s="130"/>
    </row>
    <row r="38" spans="1:8" x14ac:dyDescent="0.35">
      <c r="A38" s="131">
        <v>2163130</v>
      </c>
      <c r="B38" s="200" t="s">
        <v>184</v>
      </c>
      <c r="E38" s="130">
        <f>+VLOOKUP(A38,'[1]Oktober-december'!$A$2:$F$53,5,FALSE)</f>
        <v>282.12</v>
      </c>
      <c r="F38" s="130"/>
      <c r="G38" s="130"/>
      <c r="H38" s="130">
        <f>+VLOOKUP(A38,'[1]Oktober-december'!$A$2:$F$53,6,FALSE)</f>
        <v>414.14100000000002</v>
      </c>
    </row>
    <row r="39" spans="1:8" x14ac:dyDescent="0.35">
      <c r="A39" s="131">
        <v>2164133</v>
      </c>
      <c r="B39" s="200" t="s">
        <v>182</v>
      </c>
      <c r="E39" s="130">
        <f>+VLOOKUP(A39,'[1]Oktober-december'!$A$2:$F$53,5,FALSE)</f>
        <v>176.79900000000001</v>
      </c>
      <c r="F39" s="130"/>
      <c r="G39" s="130"/>
      <c r="H39" s="130">
        <f>+VLOOKUP(A39,'[1]Oktober-december'!$A$2:$F$53,6,FALSE)</f>
        <v>205.41200000000001</v>
      </c>
    </row>
    <row r="40" spans="1:8" x14ac:dyDescent="0.35">
      <c r="A40" s="131">
        <v>2164274</v>
      </c>
      <c r="B40" s="102" t="s">
        <v>202</v>
      </c>
      <c r="E40" s="130"/>
      <c r="F40" s="130"/>
      <c r="G40" s="130"/>
      <c r="H40" s="130"/>
    </row>
    <row r="41" spans="1:8" x14ac:dyDescent="0.35">
      <c r="A41" s="131">
        <v>2164335</v>
      </c>
      <c r="B41" s="200" t="s">
        <v>195</v>
      </c>
      <c r="E41" s="130">
        <f>+VLOOKUP(A41,'[1]Oktober-december'!$A$2:$F$53,5,FALSE)</f>
        <v>1.5469999999999999</v>
      </c>
      <c r="F41" s="130"/>
      <c r="G41" s="130"/>
      <c r="H41" s="130">
        <f>+VLOOKUP(A41,'[1]Oktober-december'!$A$2:$F$53,6,FALSE)</f>
        <v>354.738</v>
      </c>
    </row>
    <row r="42" spans="1:8" x14ac:dyDescent="0.35">
      <c r="A42" s="131">
        <v>2167011</v>
      </c>
      <c r="B42" s="200" t="s">
        <v>186</v>
      </c>
      <c r="E42" s="130">
        <f>+VLOOKUP(A42,'[1]Oktober-december'!$A$2:$F$53,5,FALSE)</f>
        <v>176.58</v>
      </c>
      <c r="F42" s="130"/>
      <c r="G42" s="130"/>
      <c r="H42" s="130">
        <f>+VLOOKUP(A42,'[1]Oktober-december'!$A$2:$F$53,6,FALSE)</f>
        <v>1369.0840000000001</v>
      </c>
    </row>
    <row r="43" spans="1:8" x14ac:dyDescent="0.35">
      <c r="A43" s="131">
        <v>2171935</v>
      </c>
      <c r="B43" s="200" t="s">
        <v>236</v>
      </c>
      <c r="E43" s="130" t="e">
        <f>+VLOOKUP(A43,'[1]Oktober-december'!$A$2:$F$53,5,FALSE)</f>
        <v>#N/A</v>
      </c>
      <c r="F43" s="130"/>
      <c r="G43" s="130"/>
      <c r="H43" s="130" t="e">
        <f>+VLOOKUP(A43,'[1]Oktober-december'!$A$2:$F$53,6,FALSE)</f>
        <v>#N/A</v>
      </c>
    </row>
    <row r="44" spans="1:8" x14ac:dyDescent="0.35">
      <c r="A44" s="131">
        <v>2174467</v>
      </c>
      <c r="B44" s="200" t="s">
        <v>194</v>
      </c>
      <c r="E44" s="130">
        <f>+VLOOKUP(A44,'[1]Oktober-december'!$A$2:$F$53,5,FALSE)</f>
        <v>236.77199999999999</v>
      </c>
      <c r="F44" s="130"/>
      <c r="G44" s="130"/>
      <c r="H44" s="130">
        <f>+VLOOKUP(A44,'[1]Oktober-december'!$A$2:$F$53,6,FALSE)</f>
        <v>795.59400000000005</v>
      </c>
    </row>
    <row r="45" spans="1:8" x14ac:dyDescent="0.35">
      <c r="A45" s="131">
        <v>2180848</v>
      </c>
      <c r="B45" s="200" t="s">
        <v>216</v>
      </c>
      <c r="E45" s="130">
        <f>+VLOOKUP(A45,'[1]Oktober-december'!$A$2:$F$53,5,FALSE)</f>
        <v>0</v>
      </c>
      <c r="F45" s="130"/>
      <c r="G45" s="130"/>
      <c r="H45" s="130">
        <f>+VLOOKUP(A45,'[1]Oktober-december'!$A$2:$F$53,6,FALSE)</f>
        <v>247.642</v>
      </c>
    </row>
    <row r="46" spans="1:8" x14ac:dyDescent="0.35">
      <c r="A46">
        <v>1166810</v>
      </c>
      <c r="B46" s="201" t="s">
        <v>245</v>
      </c>
      <c r="C46"/>
      <c r="D46"/>
      <c r="E46" s="130">
        <f>+VLOOKUP(A46,'[1]Oktober-december'!$A$2:$F$53,5,FALSE)</f>
        <v>48.012999999999998</v>
      </c>
      <c r="F46" s="129"/>
      <c r="G46" s="129"/>
      <c r="H46" s="130">
        <f>+VLOOKUP(A46,'[1]Oktober-december'!$A$2:$F$53,6,FALSE)</f>
        <v>241.47399999999999</v>
      </c>
    </row>
    <row r="47" spans="1:8" x14ac:dyDescent="0.35">
      <c r="A47" s="131">
        <v>2214784</v>
      </c>
      <c r="B47" s="200" t="s">
        <v>196</v>
      </c>
      <c r="E47" s="130">
        <f>+VLOOKUP(A47,'[1]Oktober-december'!$A$2:$F$53,5,FALSE)</f>
        <v>44.128</v>
      </c>
      <c r="F47" s="130"/>
      <c r="G47" s="130"/>
      <c r="H47" s="130">
        <f>+VLOOKUP(A47,'[1]Oktober-december'!$A$2:$F$53,6,FALSE)</f>
        <v>223.57499999999999</v>
      </c>
    </row>
    <row r="48" spans="1:8" x14ac:dyDescent="0.35">
      <c r="A48">
        <v>2386462</v>
      </c>
      <c r="B48" s="201" t="s">
        <v>246</v>
      </c>
      <c r="C48"/>
      <c r="D48"/>
      <c r="E48" s="130">
        <f>+VLOOKUP(A48,'[1]Oktober-december'!$A$2:$F$53,5,FALSE)</f>
        <v>13.846</v>
      </c>
      <c r="F48" s="129"/>
      <c r="G48" s="129"/>
      <c r="H48" s="130">
        <f>+VLOOKUP(A48,'[1]Oktober-december'!$A$2:$F$53,6,FALSE)</f>
        <v>415.755</v>
      </c>
    </row>
    <row r="49" spans="1:14" x14ac:dyDescent="0.35">
      <c r="A49">
        <v>2200834</v>
      </c>
      <c r="B49" t="s">
        <v>255</v>
      </c>
      <c r="C49"/>
      <c r="D49"/>
      <c r="E49" s="130"/>
      <c r="F49" s="129"/>
      <c r="G49" s="129"/>
      <c r="H49" s="130"/>
    </row>
    <row r="50" spans="1:14" x14ac:dyDescent="0.35">
      <c r="A50" s="131">
        <v>2222649</v>
      </c>
      <c r="B50" s="200" t="s">
        <v>212</v>
      </c>
      <c r="E50" s="130">
        <f>+VLOOKUP(A50,'[1]Oktober-december'!$A$2:$F$53,5,FALSE)</f>
        <v>73.938999999999993</v>
      </c>
      <c r="F50" s="130"/>
      <c r="G50" s="130"/>
      <c r="H50" s="130">
        <f>+VLOOKUP(A50,'[1]Oktober-december'!$A$2:$F$53,6,FALSE)</f>
        <v>458.84100000000001</v>
      </c>
    </row>
    <row r="51" spans="1:14" x14ac:dyDescent="0.35">
      <c r="A51" s="131">
        <v>2232789</v>
      </c>
      <c r="B51" s="200" t="s">
        <v>237</v>
      </c>
      <c r="E51" s="130">
        <f>+VLOOKUP(A51,'[1]Oktober-december'!$A$2:$F$53,5,FALSE)</f>
        <v>3.0539999999999998</v>
      </c>
      <c r="F51" s="130"/>
      <c r="G51" s="130"/>
      <c r="H51" s="130">
        <f>+VLOOKUP(A51,'[1]Oktober-december'!$A$2:$F$53,6,FALSE)</f>
        <v>7.4569999999999999</v>
      </c>
    </row>
    <row r="52" spans="1:14" x14ac:dyDescent="0.35">
      <c r="A52" s="131">
        <v>2242256</v>
      </c>
      <c r="B52" s="102" t="s">
        <v>217</v>
      </c>
      <c r="E52" s="130"/>
      <c r="F52" s="130"/>
      <c r="G52" s="130"/>
      <c r="H52" s="130"/>
    </row>
    <row r="53" spans="1:14" x14ac:dyDescent="0.35">
      <c r="A53" s="131">
        <v>2361189</v>
      </c>
      <c r="B53" s="200" t="s">
        <v>252</v>
      </c>
      <c r="E53" s="130">
        <f>+VLOOKUP(A53,'[1]Oktober-december'!$A$2:$F$53,5,FALSE)</f>
        <v>12.433999999999999</v>
      </c>
      <c r="F53" s="130"/>
      <c r="G53" s="130"/>
      <c r="H53" s="130">
        <f>+VLOOKUP(A53,'[1]Oktober-december'!$A$2:$F$53,6,FALSE)</f>
        <v>62.234000000000002</v>
      </c>
      <c r="M53" s="102">
        <f>+SUM(M4:M52)</f>
        <v>0</v>
      </c>
      <c r="N53" s="102">
        <f>+SUM(N4:N52)</f>
        <v>0</v>
      </c>
    </row>
    <row r="54" spans="1:14" x14ac:dyDescent="0.35">
      <c r="A54" s="131">
        <v>2243447</v>
      </c>
      <c r="B54" s="200" t="s">
        <v>232</v>
      </c>
      <c r="E54" s="130">
        <f>+VLOOKUP(A54,'[1]Oktober-december'!$A$2:$F$53,5,FALSE)</f>
        <v>10.574</v>
      </c>
      <c r="F54" s="130"/>
      <c r="G54" s="130"/>
      <c r="H54" s="130">
        <f>+VLOOKUP(A54,'[1]Oktober-december'!$A$2:$F$53,6,FALSE)</f>
        <v>87.040999999999997</v>
      </c>
    </row>
    <row r="55" spans="1:14" x14ac:dyDescent="0.35">
      <c r="A55" s="131">
        <v>2251036</v>
      </c>
      <c r="B55" s="200" t="s">
        <v>238</v>
      </c>
      <c r="E55" s="130">
        <f>+VLOOKUP(A55,'[1]Oktober-december'!$A$2:$F$53,5,FALSE)</f>
        <v>0</v>
      </c>
      <c r="F55" s="130"/>
      <c r="G55" s="130"/>
      <c r="H55" s="130">
        <f>+VLOOKUP(A55,'[1]Oktober-december'!$A$2:$F$53,6,FALSE)</f>
        <v>43.835999999999999</v>
      </c>
    </row>
    <row r="56" spans="1:14" x14ac:dyDescent="0.35">
      <c r="A56" s="131">
        <v>2312561</v>
      </c>
      <c r="B56" s="200" t="s">
        <v>225</v>
      </c>
      <c r="E56" s="130">
        <f>+VLOOKUP(A56,'[1]Oktober-december'!$A$2:$F$53,5,FALSE)</f>
        <v>0</v>
      </c>
      <c r="F56" s="130"/>
      <c r="G56" s="130"/>
      <c r="H56" s="130">
        <f>+VLOOKUP(A56,'[1]Oktober-december'!$A$2:$F$53,6,FALSE)</f>
        <v>136.87</v>
      </c>
    </row>
    <row r="57" spans="1:14" x14ac:dyDescent="0.35">
      <c r="A57">
        <v>2308205</v>
      </c>
      <c r="B57" t="s">
        <v>247</v>
      </c>
      <c r="C57"/>
      <c r="D57"/>
      <c r="E57" s="130"/>
      <c r="F57" s="129"/>
      <c r="G57" s="129"/>
      <c r="H57" s="130"/>
    </row>
    <row r="58" spans="1:14" x14ac:dyDescent="0.35">
      <c r="A58">
        <v>2379924</v>
      </c>
      <c r="B58" t="s">
        <v>248</v>
      </c>
      <c r="C58"/>
      <c r="D58"/>
      <c r="E58" s="130"/>
      <c r="F58" s="129"/>
      <c r="G58" s="129"/>
      <c r="H58" s="130"/>
    </row>
    <row r="59" spans="1:14" x14ac:dyDescent="0.35">
      <c r="A59">
        <v>2336518</v>
      </c>
      <c r="B59" s="201" t="s">
        <v>249</v>
      </c>
      <c r="C59"/>
      <c r="D59"/>
      <c r="E59" s="130">
        <f>+VLOOKUP(A59,'[1]Oktober-december'!$A$2:$F$53,5,FALSE)</f>
        <v>272.483</v>
      </c>
      <c r="F59" s="129"/>
      <c r="G59" s="129"/>
      <c r="H59" s="130">
        <f>+VLOOKUP(A59,'[1]Oktober-december'!$A$2:$F$53,6,FALSE)</f>
        <v>403.14100000000002</v>
      </c>
    </row>
    <row r="60" spans="1:14" x14ac:dyDescent="0.35">
      <c r="A60">
        <v>2407997</v>
      </c>
      <c r="B60" s="201" t="s">
        <v>15</v>
      </c>
      <c r="C60"/>
      <c r="D60"/>
      <c r="E60" s="130">
        <f>+VLOOKUP(A60,'[1]Oktober-december'!$A$2:$F$53,5,FALSE)</f>
        <v>8.2919999999999998</v>
      </c>
      <c r="F60" s="129"/>
      <c r="G60" s="129"/>
      <c r="H60" s="130">
        <f>+VLOOKUP(A60,'[1]Oktober-december'!$A$2:$F$53,6,FALSE)</f>
        <v>11.39</v>
      </c>
    </row>
    <row r="61" spans="1:14" x14ac:dyDescent="0.35">
      <c r="A61">
        <v>2162723</v>
      </c>
      <c r="B61" s="201" t="s">
        <v>18</v>
      </c>
      <c r="C61"/>
      <c r="D61"/>
      <c r="E61" s="130">
        <f>+VLOOKUP(A61,'[1]Oktober-december'!$A$2:$F$53,5,FALSE)</f>
        <v>16.16</v>
      </c>
      <c r="F61" s="129"/>
      <c r="G61" s="129"/>
      <c r="H61" s="130">
        <f>+VLOOKUP(A61,'[1]Oktober-december'!$A$2:$F$53,6,FALSE)</f>
        <v>20.736999999999998</v>
      </c>
    </row>
    <row r="62" spans="1:14" x14ac:dyDescent="0.35">
      <c r="A62" s="131">
        <v>2329044</v>
      </c>
      <c r="B62" s="200" t="s">
        <v>231</v>
      </c>
      <c r="E62" s="130">
        <f>+VLOOKUP(A62,'[1]Oktober-december'!$A$2:$F$53,5,FALSE)</f>
        <v>4.3840000000000003</v>
      </c>
      <c r="F62" s="130"/>
      <c r="G62" s="130"/>
      <c r="H62" s="130">
        <f>+VLOOKUP(A62,'[1]Oktober-december'!$A$2:$F$53,6,FALSE)</f>
        <v>10.616</v>
      </c>
    </row>
    <row r="63" spans="1:14" x14ac:dyDescent="0.35">
      <c r="A63" s="131">
        <v>2406065</v>
      </c>
      <c r="B63" s="200" t="s">
        <v>256</v>
      </c>
      <c r="E63" s="130">
        <f>+VLOOKUP(A63,'[1]Oktober-december'!$A$2:$F$53,5,FALSE)</f>
        <v>3.472</v>
      </c>
      <c r="F63" s="130"/>
      <c r="G63" s="130"/>
      <c r="H63" s="130">
        <f>+VLOOKUP(A63,'[1]Oktober-december'!$A$2:$F$53,6,FALSE)</f>
        <v>43.337000000000003</v>
      </c>
    </row>
    <row r="64" spans="1:14" x14ac:dyDescent="0.35">
      <c r="A64">
        <v>2162753</v>
      </c>
      <c r="B64" s="201" t="s">
        <v>278</v>
      </c>
      <c r="E64" s="130">
        <f>+VLOOKUP(A64,'[1]Oktober-december'!$A$2:$F$53,5,FALSE)</f>
        <v>0.15</v>
      </c>
      <c r="F64" s="130"/>
      <c r="G64" s="130"/>
      <c r="H64" s="130">
        <f>+VLOOKUP(A64,'[1]Oktober-december'!$A$2:$F$53,6,FALSE)</f>
        <v>21.06</v>
      </c>
    </row>
    <row r="65" spans="1:8" x14ac:dyDescent="0.35">
      <c r="A65" s="131">
        <v>2347486</v>
      </c>
      <c r="B65" s="102" t="s">
        <v>65</v>
      </c>
      <c r="E65" s="130"/>
      <c r="F65" s="130"/>
      <c r="G65" s="130"/>
      <c r="H65" s="130"/>
    </row>
    <row r="66" spans="1:8" x14ac:dyDescent="0.35">
      <c r="A66" s="102">
        <v>1017038</v>
      </c>
      <c r="B66" s="102" t="s">
        <v>4</v>
      </c>
      <c r="E66" s="130"/>
      <c r="F66" s="130"/>
      <c r="G66" s="130"/>
      <c r="H66" s="130"/>
    </row>
    <row r="67" spans="1:8" x14ac:dyDescent="0.35">
      <c r="A67" s="102">
        <v>2373519</v>
      </c>
      <c r="B67" s="102" t="s">
        <v>257</v>
      </c>
      <c r="E67" s="130"/>
      <c r="F67" s="130"/>
      <c r="G67" s="130"/>
      <c r="H67" s="130"/>
    </row>
    <row r="68" spans="1:8" x14ac:dyDescent="0.35">
      <c r="E68" s="130" t="e">
        <f>+SUM(E2:E67)</f>
        <v>#N/A</v>
      </c>
      <c r="F68" s="130">
        <f t="shared" ref="F68:H68" si="0">+SUM(F2:F67)</f>
        <v>0</v>
      </c>
      <c r="G68" s="130">
        <f t="shared" si="0"/>
        <v>0</v>
      </c>
      <c r="H68" s="130" t="e">
        <f t="shared" si="0"/>
        <v>#N/A</v>
      </c>
    </row>
    <row r="69" spans="1:8" x14ac:dyDescent="0.35">
      <c r="E69" s="130"/>
      <c r="F69" s="130"/>
      <c r="G69" s="130"/>
      <c r="H69" s="130"/>
    </row>
  </sheetData>
  <autoFilter ref="A1:H67" xr:uid="{93EC7BBC-FF66-42FC-9726-100CC391C4C6}">
    <sortState xmlns:xlrd2="http://schemas.microsoft.com/office/spreadsheetml/2017/richdata2" ref="A2:H65">
      <sortCondition ref="A1:A65"/>
    </sortState>
  </autoFilter>
  <sortState xmlns:xlrd2="http://schemas.microsoft.com/office/spreadsheetml/2017/richdata2" ref="K4:N52">
    <sortCondition ref="K4:K52"/>
  </sortState>
  <conditionalFormatting sqref="A1:A1048576">
    <cfRule type="duplicateValues" dxfId="2" priority="8"/>
  </conditionalFormatting>
  <conditionalFormatting sqref="A70:A1048576 A1:A65">
    <cfRule type="duplicateValues" dxfId="1" priority="5"/>
  </conditionalFormatting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9FFC30-CA23-4959-8739-8B60752C1061}">
  <sheetPr>
    <pageSetUpPr fitToPage="1"/>
  </sheetPr>
  <dimension ref="A1:F64"/>
  <sheetViews>
    <sheetView showGridLines="0" topLeftCell="A13" workbookViewId="0">
      <selection activeCell="J26" sqref="J26"/>
    </sheetView>
  </sheetViews>
  <sheetFormatPr defaultRowHeight="14.5" x14ac:dyDescent="0.35"/>
  <cols>
    <col min="1" max="1" width="11.81640625" style="135" customWidth="1"/>
    <col min="2" max="2" width="29" style="135" bestFit="1" customWidth="1"/>
    <col min="3" max="3" width="9.1796875" style="135" bestFit="1" customWidth="1"/>
    <col min="4" max="4" width="8.1796875" style="135" bestFit="1" customWidth="1"/>
    <col min="5" max="5" width="8" style="135" bestFit="1" customWidth="1"/>
    <col min="6" max="6" width="11" style="135" bestFit="1" customWidth="1"/>
    <col min="7" max="7" width="13.453125" style="135" customWidth="1"/>
    <col min="8" max="16384" width="8.7265625" style="135"/>
  </cols>
  <sheetData>
    <row r="1" spans="1:6" ht="14.15" customHeight="1" x14ac:dyDescent="0.35">
      <c r="A1" s="228"/>
      <c r="B1" s="228"/>
    </row>
    <row r="2" spans="1:6" ht="14.15" customHeight="1" x14ac:dyDescent="0.35">
      <c r="A2" s="228"/>
      <c r="B2" s="228"/>
    </row>
    <row r="3" spans="1:6" ht="7.15" customHeight="1" x14ac:dyDescent="0.35"/>
    <row r="4" spans="1:6" x14ac:dyDescent="0.35">
      <c r="A4" s="202" t="s">
        <v>123</v>
      </c>
      <c r="B4" s="204" t="s">
        <v>123</v>
      </c>
      <c r="C4" s="231"/>
      <c r="D4" s="231"/>
      <c r="E4" s="232"/>
      <c r="F4" s="199" t="s">
        <v>260</v>
      </c>
    </row>
    <row r="5" spans="1:6" x14ac:dyDescent="0.35">
      <c r="A5" s="207" t="s">
        <v>125</v>
      </c>
      <c r="B5" s="208" t="s">
        <v>126</v>
      </c>
      <c r="C5" s="209" t="s">
        <v>127</v>
      </c>
      <c r="D5" s="209" t="s">
        <v>128</v>
      </c>
      <c r="E5" s="136" t="s">
        <v>129</v>
      </c>
      <c r="F5" s="210" t="s">
        <v>262</v>
      </c>
    </row>
    <row r="6" spans="1:6" x14ac:dyDescent="0.35">
      <c r="A6" s="202">
        <v>200011554</v>
      </c>
      <c r="B6" s="204" t="s">
        <v>20</v>
      </c>
      <c r="C6" s="213">
        <v>1533.1010000000001</v>
      </c>
      <c r="D6" s="212">
        <v>1533.1010000000001</v>
      </c>
      <c r="E6" s="137">
        <v>1</v>
      </c>
      <c r="F6" s="214">
        <v>528779.97199999995</v>
      </c>
    </row>
    <row r="7" spans="1:6" x14ac:dyDescent="0.35">
      <c r="A7" s="202">
        <v>200012124</v>
      </c>
      <c r="B7" s="204" t="s">
        <v>131</v>
      </c>
      <c r="C7" s="213">
        <v>2710.12</v>
      </c>
      <c r="D7" s="212">
        <v>2565.8679999999999</v>
      </c>
      <c r="E7" s="137">
        <v>0.94677283662716039</v>
      </c>
      <c r="F7" s="214">
        <v>932962.07900000003</v>
      </c>
    </row>
    <row r="8" spans="1:6" x14ac:dyDescent="0.35">
      <c r="A8" s="202">
        <v>200012834</v>
      </c>
      <c r="B8" s="204" t="s">
        <v>3</v>
      </c>
      <c r="C8" s="213">
        <v>1537.825</v>
      </c>
      <c r="D8" s="212">
        <v>1289.9159999999999</v>
      </c>
      <c r="E8" s="137">
        <v>0.8387924503763432</v>
      </c>
      <c r="F8" s="214">
        <v>468357.67</v>
      </c>
    </row>
    <row r="9" spans="1:6" x14ac:dyDescent="0.35">
      <c r="A9" s="202">
        <v>200012841</v>
      </c>
      <c r="B9" s="204" t="s">
        <v>132</v>
      </c>
      <c r="C9" s="213">
        <v>1511.8689999999999</v>
      </c>
      <c r="D9" s="212">
        <v>1183.4469999999999</v>
      </c>
      <c r="E9" s="137">
        <v>0.78277086176117106</v>
      </c>
      <c r="F9" s="214">
        <v>393266.01500000001</v>
      </c>
    </row>
    <row r="10" spans="1:6" x14ac:dyDescent="0.35">
      <c r="A10" s="202">
        <v>200021706</v>
      </c>
      <c r="B10" s="204" t="s">
        <v>133</v>
      </c>
      <c r="C10" s="213">
        <v>1503.2180000000001</v>
      </c>
      <c r="D10" s="212">
        <v>1375.97</v>
      </c>
      <c r="E10" s="137">
        <v>0.91534960331768245</v>
      </c>
      <c r="F10" s="214">
        <v>388247.28399999999</v>
      </c>
    </row>
    <row r="11" spans="1:6" x14ac:dyDescent="0.35">
      <c r="A11" s="202">
        <v>200023854</v>
      </c>
      <c r="B11" s="204" t="s">
        <v>79</v>
      </c>
      <c r="C11" s="213">
        <v>1992.7170000000001</v>
      </c>
      <c r="D11" s="212">
        <v>537.947</v>
      </c>
      <c r="E11" s="137">
        <v>0.26995654676504494</v>
      </c>
      <c r="F11" s="214">
        <v>75160.001999999993</v>
      </c>
    </row>
    <row r="12" spans="1:6" x14ac:dyDescent="0.35">
      <c r="A12" s="202">
        <v>200025919</v>
      </c>
      <c r="B12" s="204" t="s">
        <v>4</v>
      </c>
      <c r="C12" s="213">
        <v>1502.4380000000001</v>
      </c>
      <c r="D12" s="212">
        <v>1498.5340000000001</v>
      </c>
      <c r="E12" s="137">
        <v>0.9974015566698925</v>
      </c>
      <c r="F12" s="214">
        <v>470677.61</v>
      </c>
    </row>
    <row r="13" spans="1:6" x14ac:dyDescent="0.35">
      <c r="A13" s="202">
        <v>200025926</v>
      </c>
      <c r="B13" s="204" t="s">
        <v>5</v>
      </c>
      <c r="C13" s="213">
        <v>3341.2289999999998</v>
      </c>
      <c r="D13" s="212">
        <v>2733.692</v>
      </c>
      <c r="E13" s="137">
        <v>0.81816960166453723</v>
      </c>
      <c r="F13" s="214">
        <v>924360.98199999996</v>
      </c>
    </row>
    <row r="14" spans="1:6" x14ac:dyDescent="0.35">
      <c r="A14" s="202">
        <v>200031514</v>
      </c>
      <c r="B14" s="204" t="s">
        <v>134</v>
      </c>
      <c r="C14" s="213">
        <v>2421.509</v>
      </c>
      <c r="D14" s="212">
        <v>1332.1510000000001</v>
      </c>
      <c r="E14" s="137">
        <v>0.55013258261687237</v>
      </c>
      <c r="F14" s="214">
        <v>354569.69300000003</v>
      </c>
    </row>
    <row r="15" spans="1:6" x14ac:dyDescent="0.35">
      <c r="A15" s="202">
        <v>200031620</v>
      </c>
      <c r="B15" s="204" t="s">
        <v>135</v>
      </c>
      <c r="C15" s="213">
        <v>903.72199999999998</v>
      </c>
      <c r="D15" s="212">
        <v>776.38499999999999</v>
      </c>
      <c r="E15" s="137">
        <v>0.8590971559838092</v>
      </c>
      <c r="F15" s="214">
        <v>287531.44</v>
      </c>
    </row>
    <row r="16" spans="1:6" x14ac:dyDescent="0.35">
      <c r="A16" s="202">
        <v>200031637</v>
      </c>
      <c r="B16" s="204" t="s">
        <v>136</v>
      </c>
      <c r="C16" s="213">
        <v>568.33000000000004</v>
      </c>
      <c r="D16" s="212">
        <v>55.192999999999998</v>
      </c>
      <c r="E16" s="137">
        <v>9.7114352576847959E-2</v>
      </c>
      <c r="F16" s="214">
        <v>14921.656000000001</v>
      </c>
    </row>
    <row r="17" spans="1:6" x14ac:dyDescent="0.35">
      <c r="A17" s="202">
        <v>200034485</v>
      </c>
      <c r="B17" s="204" t="s">
        <v>6</v>
      </c>
      <c r="C17" s="213">
        <v>1338.1489999999999</v>
      </c>
      <c r="D17" s="212">
        <v>1305.4490000000001</v>
      </c>
      <c r="E17" s="137">
        <v>0.9755632593978697</v>
      </c>
      <c r="F17" s="214">
        <v>252674.88099999999</v>
      </c>
    </row>
    <row r="18" spans="1:6" x14ac:dyDescent="0.35">
      <c r="A18" s="202">
        <v>200039428</v>
      </c>
      <c r="B18" s="204" t="s">
        <v>207</v>
      </c>
      <c r="C18" s="213">
        <v>1376.211</v>
      </c>
      <c r="D18" s="212">
        <v>947.22199999999998</v>
      </c>
      <c r="E18" s="137">
        <v>0.68828253807010698</v>
      </c>
      <c r="F18" s="214">
        <v>187819.465</v>
      </c>
    </row>
    <row r="19" spans="1:6" x14ac:dyDescent="0.35">
      <c r="A19" s="202">
        <v>200040189</v>
      </c>
      <c r="B19" s="204" t="s">
        <v>7</v>
      </c>
      <c r="C19" s="213">
        <v>2337.7350000000001</v>
      </c>
      <c r="D19" s="212">
        <v>2121.3339999999998</v>
      </c>
      <c r="E19" s="137">
        <v>0.90743133845367419</v>
      </c>
      <c r="F19" s="214">
        <v>469160.06400000001</v>
      </c>
    </row>
    <row r="20" spans="1:6" x14ac:dyDescent="0.35">
      <c r="A20" s="202">
        <v>200040875</v>
      </c>
      <c r="B20" s="204" t="s">
        <v>137</v>
      </c>
      <c r="C20" s="213">
        <v>1740.943</v>
      </c>
      <c r="D20" s="212">
        <v>1649.903</v>
      </c>
      <c r="E20" s="137">
        <v>0.94770650159137892</v>
      </c>
      <c r="F20" s="214">
        <v>483785.49200000003</v>
      </c>
    </row>
    <row r="21" spans="1:6" x14ac:dyDescent="0.35">
      <c r="A21" s="202">
        <v>200041414</v>
      </c>
      <c r="B21" s="204" t="s">
        <v>138</v>
      </c>
      <c r="C21" s="213">
        <v>1691.6010000000001</v>
      </c>
      <c r="D21" s="212">
        <v>1526.7570000000001</v>
      </c>
      <c r="E21" s="137">
        <v>0.90255148820555198</v>
      </c>
      <c r="F21" s="214">
        <v>614418.26899999997</v>
      </c>
    </row>
    <row r="22" spans="1:6" x14ac:dyDescent="0.35">
      <c r="A22" s="202">
        <v>200042435</v>
      </c>
      <c r="B22" s="204" t="s">
        <v>139</v>
      </c>
      <c r="C22" s="213">
        <v>2455.6950000000002</v>
      </c>
      <c r="D22" s="212">
        <v>639.721</v>
      </c>
      <c r="E22" s="137">
        <v>0.2605050708658852</v>
      </c>
      <c r="F22" s="214">
        <v>145566.44</v>
      </c>
    </row>
    <row r="23" spans="1:6" x14ac:dyDescent="0.35">
      <c r="A23" s="202">
        <v>200042992</v>
      </c>
      <c r="B23" s="204" t="s">
        <v>140</v>
      </c>
      <c r="C23" s="213">
        <v>1416.665</v>
      </c>
      <c r="D23" s="212">
        <v>690.27599999999995</v>
      </c>
      <c r="E23" s="137">
        <v>0.48725422029908272</v>
      </c>
      <c r="F23" s="214">
        <v>307857.60399999999</v>
      </c>
    </row>
    <row r="24" spans="1:6" x14ac:dyDescent="0.35">
      <c r="A24" s="202">
        <v>200043647</v>
      </c>
      <c r="B24" s="204" t="s">
        <v>141</v>
      </c>
      <c r="C24" s="213">
        <v>714.11</v>
      </c>
      <c r="D24" s="212">
        <v>98.391000000000005</v>
      </c>
      <c r="E24" s="137">
        <v>0.13778129419837279</v>
      </c>
      <c r="F24" s="214">
        <v>92588.593999999997</v>
      </c>
    </row>
    <row r="25" spans="1:6" x14ac:dyDescent="0.35">
      <c r="A25" s="202">
        <v>200044538</v>
      </c>
      <c r="B25" s="204" t="s">
        <v>142</v>
      </c>
      <c r="C25" s="213">
        <v>822.822</v>
      </c>
      <c r="D25" s="212">
        <v>574.995</v>
      </c>
      <c r="E25" s="137">
        <v>0.69880849077929375</v>
      </c>
      <c r="F25" s="214">
        <v>123564.58500000001</v>
      </c>
    </row>
    <row r="26" spans="1:6" x14ac:dyDescent="0.35">
      <c r="A26" s="202">
        <v>200049625</v>
      </c>
      <c r="B26" s="204" t="s">
        <v>8</v>
      </c>
      <c r="C26" s="213">
        <v>1772.9290000000001</v>
      </c>
      <c r="D26" s="212">
        <v>1698.1289999999999</v>
      </c>
      <c r="E26" s="137">
        <v>0.9578099292188238</v>
      </c>
      <c r="F26" s="214">
        <v>656745.88600000006</v>
      </c>
    </row>
    <row r="27" spans="1:6" x14ac:dyDescent="0.35">
      <c r="A27" s="202">
        <v>200050751</v>
      </c>
      <c r="B27" s="204" t="s">
        <v>143</v>
      </c>
      <c r="C27" s="213">
        <v>390.97399999999999</v>
      </c>
      <c r="D27" s="212">
        <v>378.02800000000002</v>
      </c>
      <c r="E27" s="137">
        <v>0.96688782374275528</v>
      </c>
      <c r="F27" s="214">
        <v>95224.565000000002</v>
      </c>
    </row>
    <row r="28" spans="1:6" x14ac:dyDescent="0.35">
      <c r="A28" s="202">
        <v>200055084</v>
      </c>
      <c r="B28" s="204" t="s">
        <v>144</v>
      </c>
      <c r="C28" s="213">
        <v>410.9</v>
      </c>
      <c r="D28" s="212">
        <v>360.82400000000001</v>
      </c>
      <c r="E28" s="137">
        <v>0.87813093210026771</v>
      </c>
      <c r="F28" s="214">
        <v>81621.656000000003</v>
      </c>
    </row>
    <row r="29" spans="1:6" x14ac:dyDescent="0.35">
      <c r="A29" s="202">
        <v>200079202</v>
      </c>
      <c r="B29" s="204" t="s">
        <v>145</v>
      </c>
      <c r="C29" s="213">
        <v>1929.759</v>
      </c>
      <c r="D29" s="212">
        <v>1900.4690000000001</v>
      </c>
      <c r="E29" s="137">
        <v>0.98482193890532443</v>
      </c>
      <c r="F29" s="214">
        <v>90575.45</v>
      </c>
    </row>
    <row r="30" spans="1:6" x14ac:dyDescent="0.35">
      <c r="A30" s="202">
        <v>200095578</v>
      </c>
      <c r="B30" s="204" t="s">
        <v>146</v>
      </c>
      <c r="C30" s="213">
        <v>103.965</v>
      </c>
      <c r="D30" s="212">
        <v>2.4</v>
      </c>
      <c r="E30" s="137">
        <v>2.3084691963641612E-2</v>
      </c>
      <c r="F30" s="214">
        <v>0</v>
      </c>
    </row>
    <row r="31" spans="1:6" x14ac:dyDescent="0.35">
      <c r="A31" s="202">
        <v>200106717</v>
      </c>
      <c r="B31" s="204" t="s">
        <v>147</v>
      </c>
      <c r="C31" s="213">
        <v>763.25199999999995</v>
      </c>
      <c r="D31" s="212">
        <v>167.541</v>
      </c>
      <c r="E31" s="137">
        <v>0.21950941497696697</v>
      </c>
      <c r="F31" s="214">
        <v>105139.841</v>
      </c>
    </row>
    <row r="32" spans="1:6" x14ac:dyDescent="0.35">
      <c r="A32" s="202">
        <v>200107653</v>
      </c>
      <c r="B32" s="204" t="s">
        <v>148</v>
      </c>
      <c r="C32" s="213">
        <v>700.85</v>
      </c>
      <c r="D32" s="212">
        <v>604.71100000000001</v>
      </c>
      <c r="E32" s="137">
        <v>0.86282514090033535</v>
      </c>
      <c r="F32" s="214">
        <v>295047.64199999999</v>
      </c>
    </row>
    <row r="33" spans="1:6" x14ac:dyDescent="0.35">
      <c r="A33" s="202">
        <v>200135519</v>
      </c>
      <c r="B33" s="204" t="s">
        <v>78</v>
      </c>
      <c r="C33" s="213">
        <v>1147.289</v>
      </c>
      <c r="D33" s="212">
        <v>1049.3520000000001</v>
      </c>
      <c r="E33" s="137">
        <v>0.91463615531919162</v>
      </c>
      <c r="F33" s="214">
        <v>313519.098</v>
      </c>
    </row>
    <row r="34" spans="1:6" x14ac:dyDescent="0.35">
      <c r="A34" s="202">
        <v>200137940</v>
      </c>
      <c r="B34" s="204" t="s">
        <v>17</v>
      </c>
      <c r="C34" s="213">
        <v>1478.6210000000001</v>
      </c>
      <c r="D34" s="212">
        <v>1392.3789999999999</v>
      </c>
      <c r="E34" s="137">
        <v>0.94167403276431216</v>
      </c>
      <c r="F34" s="214">
        <v>333232.54200000002</v>
      </c>
    </row>
    <row r="35" spans="1:6" x14ac:dyDescent="0.35">
      <c r="A35" s="202">
        <v>200138510</v>
      </c>
      <c r="B35" s="204" t="s">
        <v>11</v>
      </c>
      <c r="C35" s="213">
        <v>1209.7349999999999</v>
      </c>
      <c r="D35" s="212">
        <v>1204.43</v>
      </c>
      <c r="E35" s="137">
        <v>0.99561474207161071</v>
      </c>
      <c r="F35" s="214">
        <v>568628.61699999997</v>
      </c>
    </row>
    <row r="36" spans="1:6" x14ac:dyDescent="0.35">
      <c r="A36" s="202">
        <v>200140049</v>
      </c>
      <c r="B36" s="204" t="s">
        <v>18</v>
      </c>
      <c r="C36" s="213">
        <v>528.94299999999998</v>
      </c>
      <c r="D36" s="212">
        <v>368.86</v>
      </c>
      <c r="E36" s="137">
        <v>0.6973530229155126</v>
      </c>
      <c r="F36" s="214">
        <v>120089.78</v>
      </c>
    </row>
    <row r="37" spans="1:6" x14ac:dyDescent="0.35">
      <c r="A37" s="202">
        <v>200140070</v>
      </c>
      <c r="B37" s="204" t="s">
        <v>149</v>
      </c>
      <c r="C37" s="213">
        <v>1444.258</v>
      </c>
      <c r="D37" s="212">
        <v>1288.6869999999999</v>
      </c>
      <c r="E37" s="137">
        <v>0.89228309623349844</v>
      </c>
      <c r="F37" s="214">
        <v>416084.01</v>
      </c>
    </row>
    <row r="38" spans="1:6" x14ac:dyDescent="0.35">
      <c r="A38" s="202">
        <v>200140674</v>
      </c>
      <c r="B38" s="204" t="s">
        <v>280</v>
      </c>
      <c r="C38" s="213">
        <v>144.21799999999999</v>
      </c>
      <c r="D38" s="212">
        <v>7.23</v>
      </c>
      <c r="E38" s="137">
        <v>5.0132438391878961E-2</v>
      </c>
      <c r="F38" s="214">
        <v>0</v>
      </c>
    </row>
    <row r="39" spans="1:6" x14ac:dyDescent="0.35">
      <c r="A39" s="202">
        <v>200141541</v>
      </c>
      <c r="B39" s="204" t="s">
        <v>46</v>
      </c>
      <c r="C39" s="213">
        <v>1310.9680000000001</v>
      </c>
      <c r="D39" s="212">
        <v>1199.5139999999999</v>
      </c>
      <c r="E39" s="137">
        <v>0.91498343208987554</v>
      </c>
      <c r="F39" s="214">
        <v>436047.17800000001</v>
      </c>
    </row>
    <row r="40" spans="1:6" x14ac:dyDescent="0.35">
      <c r="A40" s="202">
        <v>200159577</v>
      </c>
      <c r="B40" s="204" t="s">
        <v>150</v>
      </c>
      <c r="C40" s="213">
        <v>3167.3110000000001</v>
      </c>
      <c r="D40" s="212">
        <v>3081.8319999999999</v>
      </c>
      <c r="E40" s="137">
        <v>0.97301212290172956</v>
      </c>
      <c r="F40" s="214">
        <v>1156481.8899999999</v>
      </c>
    </row>
    <row r="41" spans="1:6" x14ac:dyDescent="0.35">
      <c r="A41" s="202">
        <v>200159676</v>
      </c>
      <c r="B41" s="204" t="s">
        <v>208</v>
      </c>
      <c r="C41" s="213">
        <v>360.17099999999999</v>
      </c>
      <c r="D41" s="212">
        <v>71.438999999999993</v>
      </c>
      <c r="E41" s="137">
        <v>0.19834745162714376</v>
      </c>
      <c r="F41" s="214">
        <v>23569.998</v>
      </c>
    </row>
    <row r="42" spans="1:6" x14ac:dyDescent="0.35">
      <c r="A42" s="202">
        <v>200166322</v>
      </c>
      <c r="B42" s="204" t="s">
        <v>281</v>
      </c>
      <c r="C42" s="213">
        <v>14.6</v>
      </c>
      <c r="D42" s="212">
        <v>0</v>
      </c>
      <c r="E42" s="137">
        <v>0</v>
      </c>
      <c r="F42" s="214">
        <v>0</v>
      </c>
    </row>
    <row r="43" spans="1:6" x14ac:dyDescent="0.35">
      <c r="A43" s="202">
        <v>200182711</v>
      </c>
      <c r="B43" s="204" t="s">
        <v>151</v>
      </c>
      <c r="C43" s="213">
        <v>50.308</v>
      </c>
      <c r="D43" s="212">
        <v>29.579000000000001</v>
      </c>
      <c r="E43" s="137">
        <v>0.58795817762582492</v>
      </c>
      <c r="F43" s="214">
        <v>31148.396000000001</v>
      </c>
    </row>
    <row r="44" spans="1:6" x14ac:dyDescent="0.35">
      <c r="A44" s="202">
        <v>200220246</v>
      </c>
      <c r="B44" s="204" t="s">
        <v>227</v>
      </c>
      <c r="C44" s="213">
        <v>13.68</v>
      </c>
      <c r="D44" s="212">
        <v>0</v>
      </c>
      <c r="E44" s="137">
        <v>0</v>
      </c>
      <c r="F44" s="214">
        <v>0</v>
      </c>
    </row>
    <row r="45" spans="1:6" x14ac:dyDescent="0.35">
      <c r="A45" s="202">
        <v>200221267</v>
      </c>
      <c r="B45" s="204" t="s">
        <v>265</v>
      </c>
      <c r="C45" s="213">
        <v>2971.0949999999998</v>
      </c>
      <c r="D45" s="212">
        <v>603.66499999999996</v>
      </c>
      <c r="E45" s="137">
        <v>0.20317929921459932</v>
      </c>
      <c r="F45" s="214">
        <v>254413.75599999999</v>
      </c>
    </row>
    <row r="46" spans="1:6" x14ac:dyDescent="0.35">
      <c r="A46" s="202">
        <v>200225982</v>
      </c>
      <c r="B46" s="204" t="s">
        <v>243</v>
      </c>
      <c r="C46" s="213">
        <v>148</v>
      </c>
      <c r="D46" s="212">
        <v>148</v>
      </c>
      <c r="E46" s="137">
        <v>1</v>
      </c>
      <c r="F46" s="214">
        <v>40552</v>
      </c>
    </row>
    <row r="47" spans="1:6" x14ac:dyDescent="0.35">
      <c r="A47" s="202">
        <v>200230108</v>
      </c>
      <c r="B47" s="204" t="s">
        <v>250</v>
      </c>
      <c r="C47" s="213">
        <v>98.965999999999994</v>
      </c>
      <c r="D47" s="212">
        <v>7.3879999999999999</v>
      </c>
      <c r="E47" s="137">
        <v>7.4651900652749431E-2</v>
      </c>
      <c r="F47" s="214">
        <v>11136.8</v>
      </c>
    </row>
    <row r="48" spans="1:6" x14ac:dyDescent="0.35">
      <c r="A48" s="202">
        <v>200512464</v>
      </c>
      <c r="B48" s="204" t="s">
        <v>15</v>
      </c>
      <c r="C48" s="213">
        <v>1619.069</v>
      </c>
      <c r="D48" s="212">
        <v>1609.769</v>
      </c>
      <c r="E48" s="137">
        <v>0.99425595820808133</v>
      </c>
      <c r="F48" s="214">
        <v>413930.63699999999</v>
      </c>
    </row>
    <row r="49" spans="1:6" x14ac:dyDescent="0.35">
      <c r="A49" s="202">
        <v>200514277</v>
      </c>
      <c r="B49" s="204" t="s">
        <v>96</v>
      </c>
      <c r="C49" s="213">
        <v>1540.19</v>
      </c>
      <c r="D49" s="212">
        <v>1503.829</v>
      </c>
      <c r="E49" s="137">
        <v>0.97639187372986447</v>
      </c>
      <c r="F49" s="214">
        <v>421300.32799999998</v>
      </c>
    </row>
    <row r="50" spans="1:6" x14ac:dyDescent="0.35">
      <c r="A50" s="202">
        <v>200525099</v>
      </c>
      <c r="B50" s="204" t="s">
        <v>152</v>
      </c>
      <c r="C50" s="213">
        <v>1510.9670000000001</v>
      </c>
      <c r="D50" s="212">
        <v>845.57600000000002</v>
      </c>
      <c r="E50" s="137">
        <v>0.55962572312962489</v>
      </c>
      <c r="F50" s="214">
        <v>250310.33100000001</v>
      </c>
    </row>
    <row r="51" spans="1:6" x14ac:dyDescent="0.35">
      <c r="A51" s="202">
        <v>200531038</v>
      </c>
      <c r="B51" s="204" t="s">
        <v>154</v>
      </c>
      <c r="C51" s="213">
        <v>8781.6530000000002</v>
      </c>
      <c r="D51" s="212">
        <v>6937.0640000000003</v>
      </c>
      <c r="E51" s="137">
        <v>0.78994968259392617</v>
      </c>
      <c r="F51" s="214">
        <v>1790150.2875000001</v>
      </c>
    </row>
    <row r="52" spans="1:6" x14ac:dyDescent="0.35">
      <c r="A52" s="202">
        <v>200536200</v>
      </c>
      <c r="B52" s="204" t="s">
        <v>155</v>
      </c>
      <c r="C52" s="213">
        <v>1638</v>
      </c>
      <c r="D52" s="212">
        <v>929.08299999999997</v>
      </c>
      <c r="E52" s="137">
        <v>0.56720573870573876</v>
      </c>
      <c r="F52" s="214">
        <v>367180.435</v>
      </c>
    </row>
    <row r="53" spans="1:6" x14ac:dyDescent="0.35">
      <c r="A53" s="202">
        <v>200536224</v>
      </c>
      <c r="B53" s="204" t="s">
        <v>209</v>
      </c>
      <c r="C53" s="213">
        <v>2394.4499999999998</v>
      </c>
      <c r="D53" s="212">
        <v>1477.057</v>
      </c>
      <c r="E53" s="137">
        <v>0.61686692142245614</v>
      </c>
      <c r="F53" s="214">
        <v>546171.527</v>
      </c>
    </row>
    <row r="54" spans="1:6" x14ac:dyDescent="0.35">
      <c r="A54" s="202">
        <v>200536248</v>
      </c>
      <c r="B54" s="204" t="s">
        <v>156</v>
      </c>
      <c r="C54" s="213">
        <v>1608.1389999999999</v>
      </c>
      <c r="D54" s="212">
        <v>828.83600000000001</v>
      </c>
      <c r="E54" s="137">
        <v>0.51540072095757894</v>
      </c>
      <c r="F54" s="214">
        <v>288478.40500000003</v>
      </c>
    </row>
    <row r="55" spans="1:6" x14ac:dyDescent="0.35">
      <c r="A55" s="202">
        <v>200541495</v>
      </c>
      <c r="B55" s="204" t="s">
        <v>157</v>
      </c>
      <c r="C55" s="213">
        <v>1758.223</v>
      </c>
      <c r="D55" s="212">
        <v>1679.2660000000001</v>
      </c>
      <c r="E55" s="137">
        <v>0.95509272714553273</v>
      </c>
      <c r="F55" s="214">
        <v>517775.06599999999</v>
      </c>
    </row>
    <row r="56" spans="1:6" x14ac:dyDescent="0.35">
      <c r="A56" s="202">
        <v>200544472</v>
      </c>
      <c r="B56" s="204" t="s">
        <v>158</v>
      </c>
      <c r="C56" s="213">
        <v>2800.5070000000001</v>
      </c>
      <c r="D56" s="212">
        <v>2351.0549999999998</v>
      </c>
      <c r="E56" s="137">
        <v>0.83951048863652189</v>
      </c>
      <c r="F56" s="214">
        <v>739830.24699999997</v>
      </c>
    </row>
    <row r="57" spans="1:6" x14ac:dyDescent="0.35">
      <c r="A57" s="202">
        <v>200544489</v>
      </c>
      <c r="B57" s="204" t="s">
        <v>26</v>
      </c>
      <c r="C57" s="213">
        <v>1199.104</v>
      </c>
      <c r="D57" s="212">
        <v>913.17499999999995</v>
      </c>
      <c r="E57" s="137">
        <v>0.76154778901579845</v>
      </c>
      <c r="F57" s="214">
        <v>244741.26800000001</v>
      </c>
    </row>
    <row r="58" spans="1:6" x14ac:dyDescent="0.35">
      <c r="A58" s="202">
        <v>200652832</v>
      </c>
      <c r="B58" s="204" t="s">
        <v>159</v>
      </c>
      <c r="C58" s="213">
        <v>1981.377</v>
      </c>
      <c r="D58" s="212">
        <v>1420.2660000000001</v>
      </c>
      <c r="E58" s="137">
        <v>0.71680755353473868</v>
      </c>
      <c r="F58" s="214">
        <v>495036.30599999998</v>
      </c>
    </row>
    <row r="59" spans="1:6" x14ac:dyDescent="0.35">
      <c r="A59" s="202">
        <v>200652849</v>
      </c>
      <c r="B59" s="204" t="s">
        <v>160</v>
      </c>
      <c r="C59" s="213">
        <v>1658.5160000000001</v>
      </c>
      <c r="D59" s="212">
        <v>907.27</v>
      </c>
      <c r="E59" s="137">
        <v>0.54703723087386558</v>
      </c>
      <c r="F59" s="214">
        <v>368318.14899999998</v>
      </c>
    </row>
    <row r="60" spans="1:6" x14ac:dyDescent="0.35">
      <c r="A60" s="202">
        <v>200652900</v>
      </c>
      <c r="B60" s="204" t="s">
        <v>161</v>
      </c>
      <c r="C60" s="213">
        <v>1359.2819999999999</v>
      </c>
      <c r="D60" s="212">
        <v>304.60899999999998</v>
      </c>
      <c r="E60" s="137">
        <v>0.22409551513225365</v>
      </c>
      <c r="F60" s="214">
        <v>183952.71400000001</v>
      </c>
    </row>
    <row r="61" spans="1:6" x14ac:dyDescent="0.35">
      <c r="A61" s="202">
        <v>200692968</v>
      </c>
      <c r="B61" s="204" t="s">
        <v>162</v>
      </c>
      <c r="C61" s="213">
        <v>25360.632000000001</v>
      </c>
      <c r="D61" s="212">
        <v>10388.575999999999</v>
      </c>
      <c r="E61" s="137">
        <v>0.4096339554944845</v>
      </c>
      <c r="F61" s="214">
        <v>6165621.6789999995</v>
      </c>
    </row>
    <row r="62" spans="1:6" x14ac:dyDescent="0.35">
      <c r="A62" s="202">
        <v>200809045</v>
      </c>
      <c r="B62" s="204" t="s">
        <v>13</v>
      </c>
      <c r="C62" s="213">
        <v>2555.6550000000002</v>
      </c>
      <c r="D62" s="212">
        <v>2550.6550000000002</v>
      </c>
      <c r="E62" s="137">
        <v>0.99804355439212256</v>
      </c>
      <c r="F62" s="214">
        <v>854273.02599999995</v>
      </c>
    </row>
    <row r="63" spans="1:6" x14ac:dyDescent="0.35">
      <c r="A63" s="202" t="s">
        <v>123</v>
      </c>
      <c r="B63" s="204" t="s">
        <v>123</v>
      </c>
      <c r="C63" s="215">
        <v>111346.565</v>
      </c>
      <c r="D63" s="215">
        <v>74646.794999999998</v>
      </c>
      <c r="E63" s="138">
        <v>0.67040051931552624</v>
      </c>
      <c r="F63" s="216">
        <v>26192599.307500001</v>
      </c>
    </row>
    <row r="64" spans="1:6" ht="0" hidden="1" customHeight="1" x14ac:dyDescent="0.35"/>
  </sheetData>
  <mergeCells count="3">
    <mergeCell ref="A1:B1"/>
    <mergeCell ref="A2:B2"/>
    <mergeCell ref="C4:E4"/>
  </mergeCells>
  <pageMargins left="0.39370078740157483" right="0.11811023622047245" top="0.39370078740157483" bottom="0.11811023622047245" header="0" footer="0"/>
  <pageSetup paperSize="9" scale="80" fitToHeight="0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2">
    <tabColor rgb="FF92D050"/>
    <pageSetUpPr fitToPage="1"/>
  </sheetPr>
  <dimension ref="A1:AL168"/>
  <sheetViews>
    <sheetView zoomScale="90" zoomScaleNormal="90" workbookViewId="0">
      <pane xSplit="1" ySplit="4" topLeftCell="E72" activePane="bottomRight" state="frozen"/>
      <selection activeCell="G24" sqref="G24"/>
      <selection pane="topRight" activeCell="G24" sqref="G24"/>
      <selection pane="bottomLeft" activeCell="G24" sqref="G24"/>
      <selection pane="bottomRight" activeCell="H12" sqref="H12"/>
    </sheetView>
  </sheetViews>
  <sheetFormatPr defaultColWidth="9.1796875" defaultRowHeight="14.5" x14ac:dyDescent="0.35"/>
  <cols>
    <col min="1" max="1" width="40.81640625" style="2" customWidth="1"/>
    <col min="2" max="8" width="26.1796875" style="39" customWidth="1"/>
    <col min="9" max="9" width="14.1796875" style="22" customWidth="1"/>
    <col min="10" max="10" width="14.1796875" style="96" customWidth="1"/>
    <col min="11" max="11" width="18.453125" style="96" customWidth="1"/>
    <col min="12" max="13" width="15.453125" style="97" customWidth="1"/>
    <col min="14" max="14" width="11.7265625" style="96" customWidth="1"/>
    <col min="15" max="15" width="9.81640625" style="96" customWidth="1"/>
    <col min="16" max="16" width="9.81640625" style="5" customWidth="1"/>
    <col min="17" max="17" width="9.1796875" style="97" customWidth="1"/>
    <col min="18" max="19" width="11.7265625" style="96" customWidth="1"/>
    <col min="20" max="20" width="11.7265625" style="97" customWidth="1"/>
    <col min="21" max="21" width="11.81640625" style="97" customWidth="1"/>
    <col min="22" max="22" width="14.81640625" style="4" customWidth="1"/>
    <col min="23" max="25" width="9.1796875" style="4" customWidth="1"/>
    <col min="26" max="16384" width="9.1796875" style="4"/>
  </cols>
  <sheetData>
    <row r="1" spans="1:38" ht="21" x14ac:dyDescent="0.35">
      <c r="A1" s="8" t="s">
        <v>277</v>
      </c>
      <c r="B1" s="33"/>
      <c r="C1" s="33"/>
      <c r="D1" s="33"/>
      <c r="E1" s="33"/>
      <c r="F1" s="33"/>
      <c r="G1" s="33"/>
      <c r="H1" s="33"/>
      <c r="I1" s="18" t="s">
        <v>29</v>
      </c>
      <c r="J1" s="94"/>
      <c r="K1" s="94"/>
      <c r="P1" s="163"/>
    </row>
    <row r="2" spans="1:38" ht="18" customHeight="1" thickBot="1" x14ac:dyDescent="0.4">
      <c r="A2" s="83" t="s">
        <v>33</v>
      </c>
      <c r="B2" s="34"/>
      <c r="C2" s="34"/>
      <c r="D2" s="34"/>
      <c r="E2" s="34"/>
      <c r="F2" s="34"/>
      <c r="G2" s="34"/>
      <c r="H2" s="34"/>
      <c r="I2" s="19"/>
      <c r="J2" s="95"/>
      <c r="K2" s="95"/>
      <c r="S2" s="145"/>
    </row>
    <row r="3" spans="1:38" s="17" customFormat="1" ht="79.5" customHeight="1" thickTop="1" thickBot="1" x14ac:dyDescent="0.4">
      <c r="A3" s="117" t="s">
        <v>0</v>
      </c>
      <c r="B3" s="118"/>
      <c r="C3" s="119"/>
      <c r="D3" s="119"/>
      <c r="E3" s="119"/>
      <c r="F3" s="119"/>
      <c r="G3" s="120"/>
      <c r="H3" s="121" t="s">
        <v>114</v>
      </c>
      <c r="I3" s="122" t="s">
        <v>14</v>
      </c>
      <c r="J3" s="235" t="s">
        <v>2</v>
      </c>
      <c r="K3" s="236"/>
      <c r="L3" s="237" t="s">
        <v>170</v>
      </c>
      <c r="M3" s="238"/>
      <c r="N3" s="239" t="s">
        <v>1</v>
      </c>
      <c r="O3" s="240"/>
      <c r="P3" s="241" t="s">
        <v>98</v>
      </c>
      <c r="Q3" s="242"/>
      <c r="R3" s="243" t="s">
        <v>258</v>
      </c>
      <c r="S3" s="244"/>
      <c r="T3" s="233" t="s">
        <v>233</v>
      </c>
      <c r="U3" s="234"/>
      <c r="V3" s="26"/>
    </row>
    <row r="4" spans="1:38" ht="15" thickBot="1" x14ac:dyDescent="0.4">
      <c r="A4" s="196" t="s">
        <v>0</v>
      </c>
      <c r="B4" s="197" t="s">
        <v>106</v>
      </c>
      <c r="C4" s="197" t="s">
        <v>239</v>
      </c>
      <c r="D4" s="197" t="s">
        <v>240</v>
      </c>
      <c r="E4" s="197" t="s">
        <v>241</v>
      </c>
      <c r="F4" s="197" t="s">
        <v>242</v>
      </c>
      <c r="G4" s="197" t="s">
        <v>167</v>
      </c>
      <c r="H4" s="197" t="s">
        <v>114</v>
      </c>
      <c r="I4" s="198" t="s">
        <v>14</v>
      </c>
      <c r="J4" s="125" t="s">
        <v>31</v>
      </c>
      <c r="K4" s="126" t="s">
        <v>32</v>
      </c>
      <c r="L4" s="143" t="s">
        <v>31</v>
      </c>
      <c r="M4" s="126" t="s">
        <v>32</v>
      </c>
      <c r="N4" s="139" t="s">
        <v>31</v>
      </c>
      <c r="O4" s="140" t="s">
        <v>32</v>
      </c>
      <c r="P4" s="164" t="s">
        <v>31</v>
      </c>
      <c r="Q4" s="165" t="s">
        <v>32</v>
      </c>
      <c r="R4" s="146" t="s">
        <v>31</v>
      </c>
      <c r="S4" s="147" t="s">
        <v>32</v>
      </c>
      <c r="T4" s="125" t="s">
        <v>31</v>
      </c>
      <c r="U4" s="178" t="s">
        <v>32</v>
      </c>
      <c r="V4" s="27"/>
      <c r="W4" s="5"/>
    </row>
    <row r="5" spans="1:38" s="5" customFormat="1" ht="15.5" x14ac:dyDescent="0.35">
      <c r="A5" s="15" t="s">
        <v>97</v>
      </c>
      <c r="B5" s="35"/>
      <c r="C5" s="132"/>
      <c r="D5" s="132"/>
      <c r="E5" s="132"/>
      <c r="F5" s="132"/>
      <c r="G5" s="35" t="s">
        <v>167</v>
      </c>
      <c r="H5" s="35" t="s">
        <v>117</v>
      </c>
      <c r="I5" s="20">
        <f t="shared" ref="I5:I35" si="0">(J5*100)/K5</f>
        <v>65.673054175538212</v>
      </c>
      <c r="J5" s="123">
        <f>+L5+N5+P5+R5+T5</f>
        <v>832.8</v>
      </c>
      <c r="K5" s="124">
        <f t="shared" ref="K5:K36" si="1">+M5+O5+Q5+S5+U5</f>
        <v>1268.0999999999999</v>
      </c>
      <c r="L5" s="144">
        <f>+IFERROR(VLOOKUP(C5,'Nemlig Q4'!$A$2:$H$67,5,FALSE),0)</f>
        <v>0</v>
      </c>
      <c r="M5" s="144">
        <f>+IFERROR(VLOOKUP(C5,'Nemlig Q4'!$A$2:$H$67,8,FALSE),0)</f>
        <v>0</v>
      </c>
      <c r="N5" s="123">
        <v>832.8</v>
      </c>
      <c r="O5" s="124">
        <v>1268.0999999999999</v>
      </c>
      <c r="P5" s="166"/>
      <c r="Q5" s="167"/>
      <c r="R5" s="148"/>
      <c r="S5" s="149"/>
      <c r="T5" s="179"/>
      <c r="U5" s="180"/>
      <c r="V5" s="102"/>
      <c r="W5" s="116"/>
      <c r="X5" s="116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</row>
    <row r="6" spans="1:38" ht="15.5" x14ac:dyDescent="0.35">
      <c r="A6" s="11" t="s">
        <v>93</v>
      </c>
      <c r="B6" s="35"/>
      <c r="C6" s="132"/>
      <c r="D6" s="132"/>
      <c r="E6" s="132"/>
      <c r="F6" s="132"/>
      <c r="G6" s="35" t="s">
        <v>168</v>
      </c>
      <c r="H6" s="35" t="s">
        <v>117</v>
      </c>
      <c r="I6" s="20" t="e">
        <f t="shared" ref="I6" si="2">(J6*100)/K6</f>
        <v>#DIV/0!</v>
      </c>
      <c r="J6" s="21">
        <f t="shared" ref="J6:J69" si="3">+L6+N6+P6+R6+T6</f>
        <v>0</v>
      </c>
      <c r="K6" s="100">
        <f t="shared" ref="K6" si="4">+M6+O6+Q6+S6+U6</f>
        <v>0</v>
      </c>
      <c r="L6" s="144">
        <f>+IFERROR(VLOOKUP(C6,'Nemlig Q4'!$A$2:$H$67,5,FALSE),0)</f>
        <v>0</v>
      </c>
      <c r="M6" s="144">
        <f>+IFERROR(VLOOKUP(C6,'Nemlig Q4'!$A$2:$H$67,8,FALSE),0)</f>
        <v>0</v>
      </c>
      <c r="N6" s="123" t="str">
        <f>+IFERROR(VLOOKUP(B6,'Hørkram Q4'!$A$6:$D$62,4,FALSE),"0")</f>
        <v>0</v>
      </c>
      <c r="O6" s="124" t="str">
        <f>+IFERROR(VLOOKUP(B6,'Hørkram Q4'!$A$6:$D$62,3,FALSE),"0")</f>
        <v>0</v>
      </c>
      <c r="P6" s="168"/>
      <c r="Q6" s="169"/>
      <c r="R6" s="150"/>
      <c r="S6" s="151"/>
      <c r="T6" s="181"/>
      <c r="U6" s="182"/>
      <c r="V6" s="102"/>
      <c r="W6" s="116"/>
      <c r="X6" s="116"/>
    </row>
    <row r="7" spans="1:38" ht="15.5" x14ac:dyDescent="0.35">
      <c r="A7" s="11" t="s">
        <v>53</v>
      </c>
      <c r="B7" s="35">
        <v>200140070</v>
      </c>
      <c r="C7" s="132"/>
      <c r="D7" s="132"/>
      <c r="E7" s="132"/>
      <c r="F7" s="132"/>
      <c r="G7" s="35" t="s">
        <v>167</v>
      </c>
      <c r="H7" s="35" t="s">
        <v>115</v>
      </c>
      <c r="I7" s="20">
        <f t="shared" si="0"/>
        <v>89.272874205830945</v>
      </c>
      <c r="J7" s="21">
        <f t="shared" si="3"/>
        <v>1294.6869999999999</v>
      </c>
      <c r="K7" s="100">
        <f t="shared" si="1"/>
        <v>1450.258</v>
      </c>
      <c r="L7" s="144">
        <f>+IFERROR(VLOOKUP(C7,'Nemlig Q4'!$A$2:$H$67,5,FALSE),0)</f>
        <v>0</v>
      </c>
      <c r="M7" s="144">
        <f>+IFERROR(VLOOKUP(C7,'Nemlig Q4'!$A$2:$H$67,8,FALSE),0)</f>
        <v>0</v>
      </c>
      <c r="N7" s="123">
        <f>+IFERROR(VLOOKUP(B7,'Hørkram Q4'!$A$6:$D$62,4,FALSE),"0")</f>
        <v>1288.6869999999999</v>
      </c>
      <c r="O7" s="124">
        <f>+IFERROR(VLOOKUP(B7,'Hørkram Q4'!$A$6:$D$62,3,FALSE),"0")</f>
        <v>1444.258</v>
      </c>
      <c r="P7" s="168"/>
      <c r="Q7" s="169"/>
      <c r="R7" s="150">
        <v>6</v>
      </c>
      <c r="S7" s="152">
        <v>6</v>
      </c>
      <c r="T7" s="181"/>
      <c r="U7" s="182"/>
      <c r="V7" s="102"/>
      <c r="W7" s="116"/>
      <c r="X7" s="116"/>
    </row>
    <row r="8" spans="1:38" ht="15.5" x14ac:dyDescent="0.35">
      <c r="A8" s="11" t="s">
        <v>26</v>
      </c>
      <c r="B8" s="35">
        <v>200544489</v>
      </c>
      <c r="C8" s="132">
        <v>1017028</v>
      </c>
      <c r="D8" s="132"/>
      <c r="E8" s="132"/>
      <c r="F8" s="132"/>
      <c r="G8" s="35" t="s">
        <v>167</v>
      </c>
      <c r="H8" s="35" t="s">
        <v>115</v>
      </c>
      <c r="I8" s="20">
        <f t="shared" si="0"/>
        <v>75.924303093592641</v>
      </c>
      <c r="J8" s="21">
        <f t="shared" si="3"/>
        <v>913.17499999999995</v>
      </c>
      <c r="K8" s="100">
        <f t="shared" si="1"/>
        <v>1202.7440000000001</v>
      </c>
      <c r="L8" s="144">
        <f>+IFERROR(VLOOKUP(C8,'Nemlig Q4'!$A$2:$H$67,5,FALSE),0)</f>
        <v>0</v>
      </c>
      <c r="M8" s="144">
        <f>+IFERROR(VLOOKUP(C8,'Nemlig Q4'!$A$2:$H$67,8,FALSE),0)</f>
        <v>0</v>
      </c>
      <c r="N8" s="123">
        <f>+IFERROR(VLOOKUP(B8,'Hørkram Q4'!$A$6:$D$62,4,FALSE),"0")</f>
        <v>913.17499999999995</v>
      </c>
      <c r="O8" s="124">
        <f>+IFERROR(VLOOKUP(B8,'Hørkram Q4'!$A$6:$D$62,3,FALSE),"0")</f>
        <v>1199.104</v>
      </c>
      <c r="P8" s="170"/>
      <c r="Q8" s="171"/>
      <c r="R8" s="150"/>
      <c r="S8" s="152">
        <v>3.64</v>
      </c>
      <c r="T8" s="181"/>
      <c r="U8" s="182"/>
      <c r="V8" s="102"/>
      <c r="W8" s="116"/>
      <c r="X8" s="116"/>
    </row>
    <row r="9" spans="1:38" ht="15.5" x14ac:dyDescent="0.35">
      <c r="A9" s="11" t="s">
        <v>3</v>
      </c>
      <c r="B9" s="35">
        <v>200012834</v>
      </c>
      <c r="C9" s="132"/>
      <c r="D9" s="132"/>
      <c r="E9" s="132"/>
      <c r="F9" s="132"/>
      <c r="G9" s="35" t="s">
        <v>167</v>
      </c>
      <c r="H9" s="35" t="s">
        <v>115</v>
      </c>
      <c r="I9" s="20">
        <f t="shared" si="0"/>
        <v>83.87924503763432</v>
      </c>
      <c r="J9" s="21">
        <f t="shared" si="3"/>
        <v>1289.9159999999999</v>
      </c>
      <c r="K9" s="100">
        <f t="shared" si="1"/>
        <v>1537.825</v>
      </c>
      <c r="L9" s="144">
        <f>+IFERROR(VLOOKUP(C9,'Nemlig Q4'!$A$2:$H$67,5,FALSE),0)</f>
        <v>0</v>
      </c>
      <c r="M9" s="144">
        <f>+IFERROR(VLOOKUP(C9,'Nemlig Q4'!$A$2:$H$67,8,FALSE),0)</f>
        <v>0</v>
      </c>
      <c r="N9" s="123">
        <f>+IFERROR(VLOOKUP(B9,'Hørkram Q4'!$A$6:$D$62,4,FALSE),"0")</f>
        <v>1289.9159999999999</v>
      </c>
      <c r="O9" s="124">
        <f>+IFERROR(VLOOKUP(B9,'Hørkram Q4'!$A$6:$D$62,3,FALSE),"0")</f>
        <v>1537.825</v>
      </c>
      <c r="P9" s="168"/>
      <c r="Q9" s="169"/>
      <c r="R9" s="153"/>
      <c r="S9" s="154"/>
      <c r="T9" s="181"/>
      <c r="U9" s="182"/>
      <c r="V9" s="102"/>
      <c r="W9" s="116"/>
      <c r="X9" s="116"/>
    </row>
    <row r="10" spans="1:38" x14ac:dyDescent="0.25">
      <c r="A10" s="11" t="s">
        <v>171</v>
      </c>
      <c r="B10" s="35">
        <v>200194837</v>
      </c>
      <c r="C10" s="132">
        <v>2232789</v>
      </c>
      <c r="D10" s="132"/>
      <c r="E10" s="132"/>
      <c r="F10" s="132"/>
      <c r="G10" s="35" t="s">
        <v>168</v>
      </c>
      <c r="H10" s="35" t="s">
        <v>122</v>
      </c>
      <c r="I10" s="20">
        <f t="shared" ref="I10" si="5">(J10*100)/K10</f>
        <v>5.5188749880882702</v>
      </c>
      <c r="J10" s="21">
        <f t="shared" si="3"/>
        <v>4.0540000000000003</v>
      </c>
      <c r="K10" s="100">
        <f t="shared" ref="K10" si="6">+M10+O10+Q10+S10+U10</f>
        <v>73.456999999999994</v>
      </c>
      <c r="L10" s="144">
        <f>+IFERROR(VLOOKUP(C10,'Nemlig Q4'!$A$2:$H$67,5,FALSE),0)</f>
        <v>3.0539999999999998</v>
      </c>
      <c r="M10" s="144">
        <f>+IFERROR(VLOOKUP(C10,'Nemlig Q4'!$A$2:$H$67,8,FALSE),0)</f>
        <v>7.4569999999999999</v>
      </c>
      <c r="N10" s="123" t="str">
        <f>+IFERROR(VLOOKUP(B10,'Hørkram Q4'!$A$6:$D$62,4,FALSE),"0")</f>
        <v>0</v>
      </c>
      <c r="O10" s="124" t="str">
        <f>+IFERROR(VLOOKUP(B10,'Hørkram Q4'!$A$6:$D$62,3,FALSE),"0")</f>
        <v>0</v>
      </c>
      <c r="P10" s="170"/>
      <c r="Q10" s="171"/>
      <c r="R10" s="153">
        <v>1</v>
      </c>
      <c r="S10" s="154">
        <v>66</v>
      </c>
      <c r="T10" s="181"/>
      <c r="U10" s="182"/>
      <c r="V10" s="102"/>
      <c r="W10" s="116"/>
      <c r="X10" s="116"/>
    </row>
    <row r="11" spans="1:38" ht="15.5" x14ac:dyDescent="0.35">
      <c r="A11" s="11" t="s">
        <v>13</v>
      </c>
      <c r="B11" s="35">
        <v>200809045</v>
      </c>
      <c r="C11" s="132"/>
      <c r="D11" s="132"/>
      <c r="E11" s="132"/>
      <c r="F11" s="132"/>
      <c r="G11" s="35" t="s">
        <v>167</v>
      </c>
      <c r="H11" s="35" t="s">
        <v>115</v>
      </c>
      <c r="I11" s="20">
        <f t="shared" si="0"/>
        <v>99.114650782155564</v>
      </c>
      <c r="J11" s="21">
        <f t="shared" si="3"/>
        <v>2552.4550000000004</v>
      </c>
      <c r="K11" s="100">
        <f t="shared" si="1"/>
        <v>2575.2550000000001</v>
      </c>
      <c r="L11" s="144">
        <f>+IFERROR(VLOOKUP(C11,'Nemlig Q4'!$A$2:$H$67,5,FALSE),0)</f>
        <v>0</v>
      </c>
      <c r="M11" s="144">
        <f>+IFERROR(VLOOKUP(C11,'Nemlig Q4'!$A$2:$H$67,8,FALSE),0)</f>
        <v>0</v>
      </c>
      <c r="N11" s="123">
        <f>+IFERROR(VLOOKUP(B11,'Hørkram Q4'!$A$6:$D$62,4,FALSE),"0")</f>
        <v>2550.6550000000002</v>
      </c>
      <c r="O11" s="124">
        <f>+IFERROR(VLOOKUP(B11,'Hørkram Q4'!$A$6:$D$62,3,FALSE),"0")</f>
        <v>2555.6550000000002</v>
      </c>
      <c r="P11" s="172"/>
      <c r="Q11" s="169"/>
      <c r="R11" s="155">
        <v>1.8</v>
      </c>
      <c r="S11" s="152">
        <v>19.600000000000001</v>
      </c>
      <c r="T11" s="181"/>
      <c r="U11" s="182"/>
      <c r="V11" s="102"/>
      <c r="W11" s="116"/>
      <c r="X11" s="116"/>
    </row>
    <row r="12" spans="1:38" ht="15.5" x14ac:dyDescent="0.35">
      <c r="A12" s="11" t="s">
        <v>158</v>
      </c>
      <c r="B12" s="35">
        <v>200544472</v>
      </c>
      <c r="C12" s="132"/>
      <c r="D12" s="132"/>
      <c r="E12" s="132"/>
      <c r="F12" s="132"/>
      <c r="G12" s="35" t="s">
        <v>167</v>
      </c>
      <c r="H12" s="35" t="s">
        <v>115</v>
      </c>
      <c r="I12" s="20">
        <f t="shared" si="0"/>
        <v>83.951048863652176</v>
      </c>
      <c r="J12" s="21">
        <f t="shared" si="3"/>
        <v>2351.0549999999998</v>
      </c>
      <c r="K12" s="100">
        <f t="shared" si="1"/>
        <v>2800.5070000000001</v>
      </c>
      <c r="L12" s="144">
        <f>+IFERROR(VLOOKUP(C12,'Nemlig Q4'!$A$2:$H$67,5,FALSE),0)</f>
        <v>0</v>
      </c>
      <c r="M12" s="144">
        <f>+IFERROR(VLOOKUP(C12,'Nemlig Q4'!$A$2:$H$67,8,FALSE),0)</f>
        <v>0</v>
      </c>
      <c r="N12" s="123">
        <f>+IFERROR(VLOOKUP(B12,'Hørkram Q4'!$A$6:$D$62,4,FALSE),"0")</f>
        <v>2351.0549999999998</v>
      </c>
      <c r="O12" s="124">
        <f>+IFERROR(VLOOKUP(B12,'Hørkram Q4'!$A$6:$D$62,3,FALSE),"0")</f>
        <v>2800.5070000000001</v>
      </c>
      <c r="P12" s="168"/>
      <c r="Q12" s="169"/>
      <c r="R12" s="153"/>
      <c r="S12" s="156"/>
      <c r="T12" s="181"/>
      <c r="U12" s="182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</row>
    <row r="13" spans="1:38" ht="15.5" x14ac:dyDescent="0.35">
      <c r="A13" s="11" t="s">
        <v>20</v>
      </c>
      <c r="B13" s="35">
        <v>200011554</v>
      </c>
      <c r="C13" s="132"/>
      <c r="D13" s="132"/>
      <c r="E13" s="132"/>
      <c r="F13" s="132"/>
      <c r="G13" s="35" t="s">
        <v>167</v>
      </c>
      <c r="H13" s="35" t="s">
        <v>115</v>
      </c>
      <c r="I13" s="20">
        <f t="shared" si="0"/>
        <v>98.978004830428219</v>
      </c>
      <c r="J13" s="21">
        <f t="shared" si="3"/>
        <v>1533.1010000000001</v>
      </c>
      <c r="K13" s="100">
        <f t="shared" si="1"/>
        <v>1548.931</v>
      </c>
      <c r="L13" s="144">
        <f>+IFERROR(VLOOKUP(C13,'Nemlig Q4'!$A$2:$H$67,5,FALSE),0)</f>
        <v>0</v>
      </c>
      <c r="M13" s="144">
        <f>+IFERROR(VLOOKUP(C13,'Nemlig Q4'!$A$2:$H$67,8,FALSE),0)</f>
        <v>0</v>
      </c>
      <c r="N13" s="123">
        <f>+IFERROR(VLOOKUP(B13,'Hørkram Q4'!$A$6:$D$62,4,FALSE),"0")</f>
        <v>1533.1010000000001</v>
      </c>
      <c r="O13" s="124">
        <f>+IFERROR(VLOOKUP(B13,'Hørkram Q4'!$A$6:$D$62,3,FALSE),"0")</f>
        <v>1533.1010000000001</v>
      </c>
      <c r="P13" s="168"/>
      <c r="Q13" s="169"/>
      <c r="R13" s="155">
        <v>0</v>
      </c>
      <c r="S13" s="152">
        <v>15.83</v>
      </c>
      <c r="T13" s="181"/>
      <c r="U13" s="182"/>
    </row>
    <row r="14" spans="1:38" ht="15.5" x14ac:dyDescent="0.35">
      <c r="A14" s="11" t="s">
        <v>100</v>
      </c>
      <c r="B14" s="35">
        <v>200050751</v>
      </c>
      <c r="C14" s="132"/>
      <c r="D14" s="132"/>
      <c r="E14" s="132"/>
      <c r="F14" s="132"/>
      <c r="G14" s="35" t="s">
        <v>167</v>
      </c>
      <c r="H14" s="35" t="s">
        <v>115</v>
      </c>
      <c r="I14" s="20">
        <f t="shared" si="0"/>
        <v>96.734716526178275</v>
      </c>
      <c r="J14" s="21">
        <f t="shared" si="3"/>
        <v>383.52800000000002</v>
      </c>
      <c r="K14" s="100">
        <f t="shared" si="1"/>
        <v>396.47399999999999</v>
      </c>
      <c r="L14" s="144">
        <f>+IFERROR(VLOOKUP(C14,'Nemlig Q4'!$A$2:$H$67,5,FALSE),0)</f>
        <v>0</v>
      </c>
      <c r="M14" s="144">
        <f>+IFERROR(VLOOKUP(C14,'Nemlig Q4'!$A$2:$H$67,8,FALSE),0)</f>
        <v>0</v>
      </c>
      <c r="N14" s="123">
        <f>+IFERROR(VLOOKUP(B14,'Hørkram Q4'!$A$6:$D$62,4,FALSE),"0")</f>
        <v>378.02800000000002</v>
      </c>
      <c r="O14" s="124">
        <f>+IFERROR(VLOOKUP(B14,'Hørkram Q4'!$A$6:$D$62,3,FALSE),"0")</f>
        <v>390.97399999999999</v>
      </c>
      <c r="P14" s="170"/>
      <c r="Q14" s="171"/>
      <c r="R14" s="155">
        <v>5.5</v>
      </c>
      <c r="S14" s="155">
        <v>5.5</v>
      </c>
      <c r="T14" s="21"/>
      <c r="U14" s="154"/>
    </row>
    <row r="15" spans="1:38" ht="15.5" x14ac:dyDescent="0.35">
      <c r="A15" s="11" t="s">
        <v>101</v>
      </c>
      <c r="B15" s="35">
        <v>200040875</v>
      </c>
      <c r="C15" s="132"/>
      <c r="D15" s="132"/>
      <c r="E15" s="132"/>
      <c r="F15" s="132"/>
      <c r="G15" s="35" t="s">
        <v>167</v>
      </c>
      <c r="H15" s="35" t="s">
        <v>115</v>
      </c>
      <c r="I15" s="20">
        <f t="shared" si="0"/>
        <v>94.787118732188787</v>
      </c>
      <c r="J15" s="21">
        <f t="shared" si="3"/>
        <v>1655.403</v>
      </c>
      <c r="K15" s="100">
        <f t="shared" si="1"/>
        <v>1746.443</v>
      </c>
      <c r="L15" s="144">
        <f>+IFERROR(VLOOKUP(C15,'Nemlig Q4'!$A$2:$H$67,5,FALSE),0)</f>
        <v>0</v>
      </c>
      <c r="M15" s="144">
        <f>+IFERROR(VLOOKUP(C15,'Nemlig Q4'!$A$2:$H$67,8,FALSE),0)</f>
        <v>0</v>
      </c>
      <c r="N15" s="123">
        <f>+IFERROR(VLOOKUP(B15,'Hørkram Q4'!$A$6:$D$62,4,FALSE),"0")</f>
        <v>1649.903</v>
      </c>
      <c r="O15" s="124">
        <f>+IFERROR(VLOOKUP(B15,'Hørkram Q4'!$A$6:$D$62,3,FALSE),"0")</f>
        <v>1740.943</v>
      </c>
      <c r="P15" s="168"/>
      <c r="Q15" s="169"/>
      <c r="R15" s="155">
        <v>5.5</v>
      </c>
      <c r="S15" s="155">
        <v>5.5</v>
      </c>
      <c r="T15" s="181"/>
      <c r="U15" s="182"/>
    </row>
    <row r="16" spans="1:38" ht="15.5" x14ac:dyDescent="0.35">
      <c r="A16" s="11" t="s">
        <v>46</v>
      </c>
      <c r="B16" s="35">
        <v>200141541</v>
      </c>
      <c r="C16" s="132">
        <v>2163076</v>
      </c>
      <c r="D16" s="132"/>
      <c r="E16" s="132"/>
      <c r="F16" s="132"/>
      <c r="G16" s="35" t="s">
        <v>167</v>
      </c>
      <c r="H16" s="35" t="s">
        <v>115</v>
      </c>
      <c r="I16" s="20">
        <f t="shared" si="0"/>
        <v>91.530645122069828</v>
      </c>
      <c r="J16" s="21">
        <f t="shared" si="3"/>
        <v>1204.5139999999999</v>
      </c>
      <c r="K16" s="100">
        <f t="shared" si="1"/>
        <v>1315.9680000000001</v>
      </c>
      <c r="L16" s="144">
        <f>+IFERROR(VLOOKUP(C16,'Nemlig Q4'!$A$2:$H$67,5,FALSE),0)</f>
        <v>0</v>
      </c>
      <c r="M16" s="144">
        <f>+IFERROR(VLOOKUP(C16,'Nemlig Q4'!$A$2:$H$67,8,FALSE),0)</f>
        <v>0</v>
      </c>
      <c r="N16" s="123">
        <f>+IFERROR(VLOOKUP(B16,'Hørkram Q4'!$A$6:$D$62,4,FALSE),"0")</f>
        <v>1199.5139999999999</v>
      </c>
      <c r="O16" s="124">
        <f>+IFERROR(VLOOKUP(B16,'Hørkram Q4'!$A$6:$D$62,3,FALSE),"0")</f>
        <v>1310.9680000000001</v>
      </c>
      <c r="P16" s="168"/>
      <c r="Q16" s="169"/>
      <c r="R16" s="153">
        <v>5</v>
      </c>
      <c r="S16" s="156">
        <v>5</v>
      </c>
      <c r="T16" s="181"/>
      <c r="U16" s="182"/>
    </row>
    <row r="17" spans="1:24" ht="15.5" x14ac:dyDescent="0.35">
      <c r="A17" s="11" t="s">
        <v>96</v>
      </c>
      <c r="B17" s="35">
        <v>200514277</v>
      </c>
      <c r="C17" s="132">
        <v>1017035</v>
      </c>
      <c r="D17" s="132"/>
      <c r="E17" s="132"/>
      <c r="F17" s="132"/>
      <c r="G17" s="35" t="s">
        <v>167</v>
      </c>
      <c r="H17" s="35" t="s">
        <v>115</v>
      </c>
      <c r="I17" s="20">
        <f t="shared" si="0"/>
        <v>97.639187372986441</v>
      </c>
      <c r="J17" s="21">
        <f t="shared" si="3"/>
        <v>1503.829</v>
      </c>
      <c r="K17" s="100">
        <f t="shared" si="1"/>
        <v>1540.19</v>
      </c>
      <c r="L17" s="144">
        <f>+IFERROR(VLOOKUP(C17,'Nemlig Q4'!$A$2:$H$67,5,FALSE),0)</f>
        <v>0</v>
      </c>
      <c r="M17" s="144">
        <f>+IFERROR(VLOOKUP(C17,'Nemlig Q4'!$A$2:$H$67,8,FALSE),0)</f>
        <v>0</v>
      </c>
      <c r="N17" s="123">
        <f>+IFERROR(VLOOKUP(B17,'Hørkram Q4'!$A$6:$D$62,4,FALSE),"0")</f>
        <v>1503.829</v>
      </c>
      <c r="O17" s="124">
        <f>+IFERROR(VLOOKUP(B17,'Hørkram Q4'!$A$6:$D$62,3,FALSE),"0")</f>
        <v>1540.19</v>
      </c>
      <c r="P17" s="168"/>
      <c r="Q17" s="169"/>
      <c r="R17" s="153"/>
      <c r="S17" s="156"/>
      <c r="T17" s="181"/>
      <c r="U17" s="182"/>
    </row>
    <row r="18" spans="1:24" ht="15.5" x14ac:dyDescent="0.35">
      <c r="A18" s="11" t="s">
        <v>223</v>
      </c>
      <c r="B18" s="35"/>
      <c r="C18" s="132">
        <v>1198425</v>
      </c>
      <c r="D18" s="132"/>
      <c r="E18" s="132"/>
      <c r="F18" s="132"/>
      <c r="G18" s="35" t="s">
        <v>167</v>
      </c>
      <c r="H18" s="35" t="s">
        <v>115</v>
      </c>
      <c r="I18" s="20">
        <f t="shared" ref="I18" si="7">(J18*100)/K18</f>
        <v>47.188192509516924</v>
      </c>
      <c r="J18" s="21">
        <f t="shared" si="3"/>
        <v>188.66499999999999</v>
      </c>
      <c r="K18" s="100">
        <f t="shared" ref="K18" si="8">+M18+O18+Q18+S18+U18</f>
        <v>399.81400000000002</v>
      </c>
      <c r="L18" s="144">
        <f>+IFERROR(VLOOKUP(C18,'Nemlig Q4'!$A$2:$H$67,5,FALSE),0)</f>
        <v>188.66499999999999</v>
      </c>
      <c r="M18" s="144">
        <f>+IFERROR(VLOOKUP(C18,'Nemlig Q4'!$A$2:$H$67,8,FALSE),0)</f>
        <v>399.81400000000002</v>
      </c>
      <c r="N18" s="123" t="str">
        <f>+IFERROR(VLOOKUP(B18,'Hørkram Q4'!$A$6:$D$62,4,FALSE),"0")</f>
        <v>0</v>
      </c>
      <c r="O18" s="124" t="str">
        <f>+IFERROR(VLOOKUP(B18,'Hørkram Q4'!$A$6:$D$62,3,FALSE),"0")</f>
        <v>0</v>
      </c>
      <c r="P18" s="168"/>
      <c r="Q18" s="169"/>
      <c r="R18" s="153"/>
      <c r="S18" s="156"/>
      <c r="T18" s="181"/>
      <c r="U18" s="182"/>
    </row>
    <row r="19" spans="1:24" ht="15.5" x14ac:dyDescent="0.35">
      <c r="A19" s="11" t="s">
        <v>78</v>
      </c>
      <c r="B19" s="35">
        <v>200135519</v>
      </c>
      <c r="C19" s="132"/>
      <c r="D19" s="132"/>
      <c r="E19" s="132"/>
      <c r="F19" s="132"/>
      <c r="G19" s="35" t="s">
        <v>167</v>
      </c>
      <c r="H19" s="35" t="s">
        <v>115</v>
      </c>
      <c r="I19" s="20">
        <f t="shared" si="0"/>
        <v>91.445314966179964</v>
      </c>
      <c r="J19" s="21">
        <f t="shared" si="3"/>
        <v>1057.3520000000001</v>
      </c>
      <c r="K19" s="100">
        <f t="shared" si="1"/>
        <v>1156.2670000000001</v>
      </c>
      <c r="L19" s="144">
        <f>+IFERROR(VLOOKUP(C19,'Nemlig Q4'!$A$2:$H$67,5,FALSE),0)</f>
        <v>0</v>
      </c>
      <c r="M19" s="144">
        <f>+IFERROR(VLOOKUP(C19,'Nemlig Q4'!$A$2:$H$67,8,FALSE),0)</f>
        <v>0</v>
      </c>
      <c r="N19" s="123">
        <f>+IFERROR(VLOOKUP(B19,'Hørkram Q4'!$A$6:$D$62,4,FALSE),"0")</f>
        <v>1049.3520000000001</v>
      </c>
      <c r="O19" s="124">
        <f>+IFERROR(VLOOKUP(B19,'Hørkram Q4'!$A$6:$D$62,3,FALSE),"0")</f>
        <v>1147.289</v>
      </c>
      <c r="P19" s="170"/>
      <c r="Q19" s="171"/>
      <c r="R19" s="155">
        <v>8</v>
      </c>
      <c r="S19" s="152">
        <v>8.9779999999999998</v>
      </c>
      <c r="T19" s="181"/>
      <c r="U19" s="182"/>
    </row>
    <row r="20" spans="1:24" ht="15.5" x14ac:dyDescent="0.35">
      <c r="A20" s="11" t="s">
        <v>4</v>
      </c>
      <c r="B20" s="35">
        <v>200025919</v>
      </c>
      <c r="C20" s="132">
        <v>2163049</v>
      </c>
      <c r="D20" s="132"/>
      <c r="E20" s="132"/>
      <c r="F20" s="132"/>
      <c r="G20" s="35" t="s">
        <v>167</v>
      </c>
      <c r="H20" s="35" t="s">
        <v>115</v>
      </c>
      <c r="I20" s="20">
        <f t="shared" si="0"/>
        <v>94.862372104200659</v>
      </c>
      <c r="J20" s="21">
        <f t="shared" si="3"/>
        <v>1527.6570000000002</v>
      </c>
      <c r="K20" s="100">
        <f t="shared" si="1"/>
        <v>1610.393</v>
      </c>
      <c r="L20" s="144">
        <f>+IFERROR(VLOOKUP(C20,'Nemlig Q4'!$A$2:$H$67,5,FALSE),0)</f>
        <v>22.402999999999999</v>
      </c>
      <c r="M20" s="144">
        <f>+IFERROR(VLOOKUP(C20,'Nemlig Q4'!$A$2:$H$67,8,FALSE),0)</f>
        <v>27.234999999999999</v>
      </c>
      <c r="N20" s="123">
        <f>+IFERROR(VLOOKUP(B20,'Hørkram Q4'!$A$6:$D$62,4,FALSE),"0")</f>
        <v>1498.5340000000001</v>
      </c>
      <c r="O20" s="124">
        <f>+IFERROR(VLOOKUP(B20,'Hørkram Q4'!$A$6:$D$62,3,FALSE),"0")</f>
        <v>1502.4380000000001</v>
      </c>
      <c r="P20" s="168"/>
      <c r="Q20" s="169"/>
      <c r="R20" s="155">
        <v>6.72</v>
      </c>
      <c r="S20" s="152">
        <f>74+6.72</f>
        <v>80.72</v>
      </c>
      <c r="T20" s="181"/>
      <c r="U20" s="182"/>
    </row>
    <row r="21" spans="1:24" ht="15.5" x14ac:dyDescent="0.35">
      <c r="A21" s="11" t="s">
        <v>5</v>
      </c>
      <c r="B21" s="35">
        <v>200025926</v>
      </c>
      <c r="C21" s="132"/>
      <c r="D21" s="132"/>
      <c r="E21" s="132"/>
      <c r="F21" s="132"/>
      <c r="G21" s="35" t="s">
        <v>167</v>
      </c>
      <c r="H21" s="35" t="s">
        <v>115</v>
      </c>
      <c r="I21" s="20">
        <f t="shared" si="0"/>
        <v>80.796499120612992</v>
      </c>
      <c r="J21" s="21">
        <f t="shared" si="3"/>
        <v>2733.8359999999998</v>
      </c>
      <c r="K21" s="100">
        <f t="shared" si="1"/>
        <v>3383.607</v>
      </c>
      <c r="L21" s="144">
        <f>+IFERROR(VLOOKUP(C21,'Nemlig Q4'!$A$2:$H$67,5,FALSE),0)</f>
        <v>0</v>
      </c>
      <c r="M21" s="144">
        <f>+IFERROR(VLOOKUP(C21,'Nemlig Q4'!$A$2:$H$67,8,FALSE),0)</f>
        <v>0</v>
      </c>
      <c r="N21" s="123">
        <f>+IFERROR(VLOOKUP(B21,'Hørkram Q4'!$A$6:$D$62,4,FALSE),"0")</f>
        <v>2733.692</v>
      </c>
      <c r="O21" s="124">
        <f>+IFERROR(VLOOKUP(B21,'Hørkram Q4'!$A$6:$D$62,3,FALSE),"0")</f>
        <v>3341.2289999999998</v>
      </c>
      <c r="P21" s="170"/>
      <c r="Q21" s="171"/>
      <c r="R21" s="96">
        <v>0.14399999999999999</v>
      </c>
      <c r="S21" s="152">
        <v>42.378</v>
      </c>
      <c r="T21" s="181"/>
      <c r="U21" s="182"/>
    </row>
    <row r="22" spans="1:24" ht="15.5" x14ac:dyDescent="0.35">
      <c r="A22" s="11" t="s">
        <v>55</v>
      </c>
      <c r="B22" s="35">
        <v>200159577</v>
      </c>
      <c r="C22" s="132"/>
      <c r="D22" s="132"/>
      <c r="E22" s="132"/>
      <c r="F22" s="132"/>
      <c r="G22" s="35" t="s">
        <v>167</v>
      </c>
      <c r="H22" s="35" t="s">
        <v>115</v>
      </c>
      <c r="I22" s="20">
        <f t="shared" si="0"/>
        <v>97.311398601772524</v>
      </c>
      <c r="J22" s="21">
        <f t="shared" si="3"/>
        <v>3093.8319999999999</v>
      </c>
      <c r="K22" s="100">
        <f t="shared" si="1"/>
        <v>3179.3110000000001</v>
      </c>
      <c r="L22" s="144">
        <f>+IFERROR(VLOOKUP(C22,'Nemlig Q4'!$A$2:$H$67,5,FALSE),0)</f>
        <v>0</v>
      </c>
      <c r="M22" s="144">
        <f>+IFERROR(VLOOKUP(C22,'Nemlig Q4'!$A$2:$H$67,8,FALSE),0)</f>
        <v>0</v>
      </c>
      <c r="N22" s="123">
        <f>+IFERROR(VLOOKUP(B22,'Hørkram Q4'!$A$6:$D$62,4,FALSE),"0")</f>
        <v>3081.8319999999999</v>
      </c>
      <c r="O22" s="124">
        <f>+IFERROR(VLOOKUP(B22,'Hørkram Q4'!$A$6:$D$62,3,FALSE),"0")</f>
        <v>3167.3110000000001</v>
      </c>
      <c r="P22" s="168"/>
      <c r="Q22" s="169"/>
      <c r="R22" s="155">
        <v>12</v>
      </c>
      <c r="S22" s="152">
        <v>12</v>
      </c>
      <c r="T22" s="181"/>
      <c r="U22" s="182"/>
    </row>
    <row r="23" spans="1:24" x14ac:dyDescent="0.35">
      <c r="A23" s="11" t="s">
        <v>232</v>
      </c>
      <c r="B23" s="35">
        <v>200095578</v>
      </c>
      <c r="C23" s="132">
        <v>2243447</v>
      </c>
      <c r="D23" s="132"/>
      <c r="E23" s="132"/>
      <c r="F23" s="132"/>
      <c r="G23" s="35" t="s">
        <v>167</v>
      </c>
      <c r="H23" s="35" t="s">
        <v>117</v>
      </c>
      <c r="I23" s="20">
        <f t="shared" si="0"/>
        <v>6.7924567814623629</v>
      </c>
      <c r="J23" s="21">
        <f t="shared" si="3"/>
        <v>12.974</v>
      </c>
      <c r="K23" s="100">
        <f t="shared" si="1"/>
        <v>191.006</v>
      </c>
      <c r="L23" s="144">
        <f>+IFERROR(VLOOKUP(C23,'Nemlig Q4'!$A$2:$H$67,5,FALSE),0)</f>
        <v>10.574</v>
      </c>
      <c r="M23" s="144">
        <f>+IFERROR(VLOOKUP(C23,'Nemlig Q4'!$A$2:$H$67,8,FALSE),0)</f>
        <v>87.040999999999997</v>
      </c>
      <c r="N23" s="123">
        <f>+IFERROR(VLOOKUP(B23,'Hørkram Q4'!$A$6:$D$62,4,FALSE),"0")</f>
        <v>2.4</v>
      </c>
      <c r="O23" s="124">
        <f>+IFERROR(VLOOKUP(B23,'Hørkram Q4'!$A$6:$D$62,3,FALSE),"0")</f>
        <v>103.965</v>
      </c>
      <c r="P23" s="170"/>
      <c r="Q23" s="171"/>
      <c r="R23" s="153"/>
      <c r="S23" s="154"/>
      <c r="T23" s="181"/>
      <c r="U23" s="182"/>
    </row>
    <row r="24" spans="1:24" x14ac:dyDescent="0.25">
      <c r="A24" s="15" t="s">
        <v>99</v>
      </c>
      <c r="B24" s="35"/>
      <c r="C24" s="132">
        <v>2251396</v>
      </c>
      <c r="D24" s="132"/>
      <c r="E24" s="132"/>
      <c r="F24" s="132"/>
      <c r="G24" s="35" t="s">
        <v>167</v>
      </c>
      <c r="H24" s="35" t="s">
        <v>122</v>
      </c>
      <c r="I24" s="20" t="str">
        <f>IFERROR(((J24*100)/K24)," ")</f>
        <v xml:space="preserve"> </v>
      </c>
      <c r="J24" s="21">
        <f t="shared" si="3"/>
        <v>0</v>
      </c>
      <c r="K24" s="100">
        <f>+M24+O24+Q24+S24+U24</f>
        <v>0</v>
      </c>
      <c r="L24" s="144">
        <f>+IFERROR(VLOOKUP(C24,'Nemlig Q4'!$A$2:$H$67,5,FALSE),0)</f>
        <v>0</v>
      </c>
      <c r="M24" s="144">
        <f>+IFERROR(VLOOKUP(C24,'Nemlig Q4'!$A$2:$H$67,8,FALSE),0)</f>
        <v>0</v>
      </c>
      <c r="N24" s="123" t="str">
        <f>+IFERROR(VLOOKUP(B24,'Hørkram Q4'!$A$6:$D$62,4,FALSE),"0")</f>
        <v>0</v>
      </c>
      <c r="O24" s="124" t="str">
        <f>+IFERROR(VLOOKUP(B24,'Hørkram Q4'!$A$6:$D$62,3,FALSE),"0")</f>
        <v>0</v>
      </c>
      <c r="P24" s="170"/>
      <c r="Q24" s="171"/>
      <c r="R24" s="153"/>
      <c r="S24" s="154"/>
      <c r="T24" s="181"/>
      <c r="U24" s="182"/>
      <c r="V24" s="102"/>
      <c r="W24" s="116"/>
      <c r="X24" s="116"/>
    </row>
    <row r="25" spans="1:24" ht="15.5" x14ac:dyDescent="0.35">
      <c r="A25" s="15" t="s">
        <v>6</v>
      </c>
      <c r="B25" s="35">
        <v>200034485</v>
      </c>
      <c r="C25" s="132">
        <v>1017649</v>
      </c>
      <c r="D25" s="132"/>
      <c r="E25" s="132"/>
      <c r="F25" s="132"/>
      <c r="G25" s="35" t="s">
        <v>167</v>
      </c>
      <c r="H25" s="35" t="s">
        <v>115</v>
      </c>
      <c r="I25" s="20">
        <f t="shared" si="0"/>
        <v>97.556325939786987</v>
      </c>
      <c r="J25" s="21">
        <f t="shared" si="3"/>
        <v>1305.4490000000001</v>
      </c>
      <c r="K25" s="100">
        <f t="shared" si="1"/>
        <v>1338.1489999999999</v>
      </c>
      <c r="L25" s="144">
        <f>+IFERROR(VLOOKUP(C25,'Nemlig Q4'!$A$2:$H$67,5,FALSE),0)</f>
        <v>0</v>
      </c>
      <c r="M25" s="144">
        <f>+IFERROR(VLOOKUP(C25,'Nemlig Q4'!$A$2:$H$67,8,FALSE),0)</f>
        <v>0</v>
      </c>
      <c r="N25" s="123">
        <f>+IFERROR(VLOOKUP(B25,'Hørkram Q4'!$A$6:$D$62,4,FALSE),"0")</f>
        <v>1305.4490000000001</v>
      </c>
      <c r="O25" s="124">
        <f>+IFERROR(VLOOKUP(B25,'Hørkram Q4'!$A$6:$D$62,3,FALSE),"0")</f>
        <v>1338.1489999999999</v>
      </c>
      <c r="P25" s="170"/>
      <c r="Q25" s="171"/>
      <c r="R25" s="155"/>
      <c r="S25" s="157"/>
      <c r="T25" s="181"/>
      <c r="U25" s="182"/>
      <c r="V25" s="102"/>
      <c r="W25" s="116"/>
      <c r="X25" s="116"/>
    </row>
    <row r="26" spans="1:24" ht="15.5" x14ac:dyDescent="0.35">
      <c r="A26" s="11" t="s">
        <v>36</v>
      </c>
      <c r="B26" s="35"/>
      <c r="C26" s="132"/>
      <c r="D26" s="132"/>
      <c r="E26" s="132"/>
      <c r="F26" s="132"/>
      <c r="G26" s="35" t="s">
        <v>168</v>
      </c>
      <c r="H26" s="35" t="s">
        <v>122</v>
      </c>
      <c r="I26" s="20" t="str">
        <f>IFERROR(((J26*100)/K26),"")</f>
        <v/>
      </c>
      <c r="J26" s="21">
        <f t="shared" si="3"/>
        <v>0</v>
      </c>
      <c r="K26" s="100">
        <f t="shared" si="1"/>
        <v>0</v>
      </c>
      <c r="L26" s="144">
        <f>+IFERROR(VLOOKUP(C26,'Nemlig Q4'!$A$2:$H$67,5,FALSE),0)</f>
        <v>0</v>
      </c>
      <c r="M26" s="144">
        <f>+IFERROR(VLOOKUP(C26,'Nemlig Q4'!$A$2:$H$67,8,FALSE),0)</f>
        <v>0</v>
      </c>
      <c r="N26" s="123" t="str">
        <f>+IFERROR(VLOOKUP(B26,'Hørkram Q4'!$A$6:$D$62,4,FALSE),"0")</f>
        <v>0</v>
      </c>
      <c r="O26" s="124" t="str">
        <f>+IFERROR(VLOOKUP(B26,'Hørkram Q4'!$A$6:$D$62,3,FALSE),"0")</f>
        <v>0</v>
      </c>
      <c r="P26" s="168"/>
      <c r="Q26" s="169"/>
      <c r="R26" s="153"/>
      <c r="S26" s="156"/>
      <c r="T26" s="181"/>
      <c r="U26" s="182"/>
      <c r="V26" s="102"/>
      <c r="W26" s="116"/>
      <c r="X26" s="116"/>
    </row>
    <row r="27" spans="1:24" ht="15.5" x14ac:dyDescent="0.35">
      <c r="A27" s="11" t="s">
        <v>51</v>
      </c>
      <c r="B27" s="35"/>
      <c r="C27" s="132">
        <v>2251036</v>
      </c>
      <c r="D27" s="132"/>
      <c r="E27" s="132"/>
      <c r="F27" s="132"/>
      <c r="G27" s="35" t="s">
        <v>168</v>
      </c>
      <c r="H27" s="35" t="s">
        <v>122</v>
      </c>
      <c r="I27" s="20">
        <f>IFERROR(((J27*100)/K27),"")</f>
        <v>0</v>
      </c>
      <c r="J27" s="21">
        <f t="shared" si="3"/>
        <v>0</v>
      </c>
      <c r="K27" s="100">
        <f t="shared" si="1"/>
        <v>130.196</v>
      </c>
      <c r="L27" s="144">
        <f>+IFERROR(VLOOKUP(C27,'Nemlig Q4'!$A$2:$H$67,5,FALSE),0)</f>
        <v>0</v>
      </c>
      <c r="M27" s="144">
        <f>+IFERROR(VLOOKUP(C27,'Nemlig Q4'!$A$2:$H$67,8,FALSE),0)</f>
        <v>43.835999999999999</v>
      </c>
      <c r="N27" s="123" t="str">
        <f>+IFERROR(VLOOKUP(B27,'Hørkram Q4'!$A$6:$D$62,4,FALSE),"0")</f>
        <v>0</v>
      </c>
      <c r="O27" s="124" t="str">
        <f>+IFERROR(VLOOKUP(B27,'Hørkram Q4'!$A$6:$D$62,3,FALSE),"0")</f>
        <v>0</v>
      </c>
      <c r="P27" s="168"/>
      <c r="Q27" s="169"/>
      <c r="R27" s="155"/>
      <c r="S27" s="157">
        <f>31.36+55</f>
        <v>86.36</v>
      </c>
      <c r="T27" s="181"/>
      <c r="U27" s="182"/>
      <c r="V27" s="102"/>
      <c r="W27" s="116"/>
      <c r="X27" s="116"/>
    </row>
    <row r="28" spans="1:24" x14ac:dyDescent="0.25">
      <c r="A28" s="11" t="s">
        <v>77</v>
      </c>
      <c r="B28" s="35"/>
      <c r="C28" s="132">
        <v>1192523</v>
      </c>
      <c r="D28" s="132"/>
      <c r="E28" s="132"/>
      <c r="F28" s="132"/>
      <c r="G28" s="35" t="s">
        <v>167</v>
      </c>
      <c r="H28" s="35" t="s">
        <v>118</v>
      </c>
      <c r="I28" s="20">
        <f t="shared" si="0"/>
        <v>9.240701199060398</v>
      </c>
      <c r="J28" s="21">
        <f t="shared" si="3"/>
        <v>40.637</v>
      </c>
      <c r="K28" s="100">
        <f t="shared" si="1"/>
        <v>439.76100000000002</v>
      </c>
      <c r="L28" s="144">
        <f>+IFERROR(VLOOKUP(C28,'Nemlig Q4'!$A$2:$H$67,5,FALSE),0)</f>
        <v>40.637</v>
      </c>
      <c r="M28" s="144">
        <f>+IFERROR(VLOOKUP(C28,'Nemlig Q4'!$A$2:$H$67,8,FALSE),0)</f>
        <v>439.76100000000002</v>
      </c>
      <c r="N28" s="123" t="str">
        <f>+IFERROR(VLOOKUP(B28,'Hørkram Q4'!$A$6:$D$62,4,FALSE),"0")</f>
        <v>0</v>
      </c>
      <c r="O28" s="124" t="str">
        <f>+IFERROR(VLOOKUP(B28,'Hørkram Q4'!$A$6:$D$62,3,FALSE),"0")</f>
        <v>0</v>
      </c>
      <c r="P28" s="170"/>
      <c r="Q28" s="171"/>
      <c r="R28" s="153"/>
      <c r="S28" s="154"/>
      <c r="T28" s="181"/>
      <c r="U28" s="182"/>
      <c r="V28" s="102"/>
      <c r="W28" s="116"/>
      <c r="X28" s="116"/>
    </row>
    <row r="29" spans="1:24" x14ac:dyDescent="0.25">
      <c r="A29" s="11" t="s">
        <v>76</v>
      </c>
      <c r="B29" s="35"/>
      <c r="C29" s="132">
        <v>1149830</v>
      </c>
      <c r="D29" s="132"/>
      <c r="E29" s="132"/>
      <c r="F29" s="132"/>
      <c r="G29" s="35" t="s">
        <v>168</v>
      </c>
      <c r="H29" s="35" t="s">
        <v>122</v>
      </c>
      <c r="I29" s="20">
        <f>IFERROR(((J29*100)/K29)," ")</f>
        <v>3.4816221530836264</v>
      </c>
      <c r="J29" s="21">
        <f t="shared" si="3"/>
        <v>10.34</v>
      </c>
      <c r="K29" s="100">
        <f t="shared" si="1"/>
        <v>296.988</v>
      </c>
      <c r="L29" s="144">
        <f>+IFERROR(VLOOKUP(C29,'Nemlig Q4'!$A$2:$H$67,5,FALSE),0)</f>
        <v>0.34</v>
      </c>
      <c r="M29" s="144">
        <f>+IFERROR(VLOOKUP(C29,'Nemlig Q4'!$A$2:$H$67,8,FALSE),0)</f>
        <v>276.988</v>
      </c>
      <c r="N29" s="123" t="str">
        <f>+IFERROR(VLOOKUP(B29,'Hørkram Q4'!$A$6:$D$62,4,FALSE),"0")</f>
        <v>0</v>
      </c>
      <c r="O29" s="124" t="str">
        <f>+IFERROR(VLOOKUP(B29,'Hørkram Q4'!$A$6:$D$62,3,FALSE),"0")</f>
        <v>0</v>
      </c>
      <c r="P29" s="170"/>
      <c r="Q29" s="171"/>
      <c r="R29" s="153">
        <v>10</v>
      </c>
      <c r="S29" s="154">
        <v>20</v>
      </c>
      <c r="T29" s="181"/>
      <c r="U29" s="182"/>
      <c r="V29" s="102"/>
      <c r="W29" s="116"/>
      <c r="X29" s="116"/>
    </row>
    <row r="30" spans="1:24" x14ac:dyDescent="0.25">
      <c r="A30" s="11" t="s">
        <v>18</v>
      </c>
      <c r="B30" s="35">
        <v>200140049</v>
      </c>
      <c r="C30" s="132">
        <v>2162723</v>
      </c>
      <c r="D30" s="132"/>
      <c r="E30" s="132"/>
      <c r="F30" s="132"/>
      <c r="G30" s="35" t="s">
        <v>167</v>
      </c>
      <c r="H30" s="35" t="s">
        <v>115</v>
      </c>
      <c r="I30" s="20">
        <f t="shared" si="0"/>
        <v>70.044389462960282</v>
      </c>
      <c r="J30" s="21">
        <f t="shared" si="3"/>
        <v>385.02000000000004</v>
      </c>
      <c r="K30" s="100">
        <f t="shared" si="1"/>
        <v>549.67999999999995</v>
      </c>
      <c r="L30" s="144">
        <f>+IFERROR(VLOOKUP(C30,'Nemlig Q4'!$A$2:$H$67,5,FALSE),0)</f>
        <v>16.16</v>
      </c>
      <c r="M30" s="144">
        <f>+IFERROR(VLOOKUP(C30,'Nemlig Q4'!$A$2:$H$67,8,FALSE),0)</f>
        <v>20.736999999999998</v>
      </c>
      <c r="N30" s="123">
        <f>+IFERROR(VLOOKUP(B30,'Hørkram Q4'!$A$6:$D$62,4,FALSE),"0")</f>
        <v>368.86</v>
      </c>
      <c r="O30" s="124">
        <f>+IFERROR(VLOOKUP(B30,'Hørkram Q4'!$A$6:$D$62,3,FALSE),"0")</f>
        <v>528.94299999999998</v>
      </c>
      <c r="P30" s="170"/>
      <c r="Q30" s="171"/>
      <c r="R30" s="153"/>
      <c r="S30" s="154"/>
      <c r="T30" s="181"/>
      <c r="U30" s="182"/>
      <c r="V30" s="102"/>
      <c r="W30" s="116"/>
      <c r="X30" s="116"/>
    </row>
    <row r="31" spans="1:24" x14ac:dyDescent="0.25">
      <c r="A31" s="11" t="s">
        <v>102</v>
      </c>
      <c r="B31" s="35">
        <v>200185279</v>
      </c>
      <c r="C31" s="132"/>
      <c r="D31" s="132"/>
      <c r="E31" s="132"/>
      <c r="F31" s="132"/>
      <c r="G31" s="35" t="s">
        <v>168</v>
      </c>
      <c r="H31" s="35" t="s">
        <v>117</v>
      </c>
      <c r="I31" s="20" t="str">
        <f>IFERROR(((J31*100)/K31)," ")</f>
        <v xml:space="preserve"> </v>
      </c>
      <c r="J31" s="21">
        <f t="shared" si="3"/>
        <v>0</v>
      </c>
      <c r="K31" s="100">
        <f t="shared" si="1"/>
        <v>0</v>
      </c>
      <c r="L31" s="144">
        <f>+IFERROR(VLOOKUP(C31,'Nemlig Q4'!$A$2:$H$67,5,FALSE),0)</f>
        <v>0</v>
      </c>
      <c r="M31" s="144">
        <f>+IFERROR(VLOOKUP(C31,'Nemlig Q4'!$A$2:$H$67,8,FALSE),0)</f>
        <v>0</v>
      </c>
      <c r="N31" s="123" t="str">
        <f>+IFERROR(VLOOKUP(B31,'Hørkram Q4'!$A$6:$D$62,4,FALSE),"0")</f>
        <v>0</v>
      </c>
      <c r="O31" s="124" t="str">
        <f>+IFERROR(VLOOKUP(B31,'Hørkram Q4'!$A$6:$D$62,3,FALSE),"0")</f>
        <v>0</v>
      </c>
      <c r="P31" s="170"/>
      <c r="Q31" s="171"/>
      <c r="R31" s="153"/>
      <c r="S31" s="100"/>
      <c r="T31" s="181"/>
      <c r="U31" s="182"/>
      <c r="V31" s="102"/>
      <c r="W31" s="116"/>
      <c r="X31" s="116"/>
    </row>
    <row r="32" spans="1:24" x14ac:dyDescent="0.25">
      <c r="A32" s="11" t="s">
        <v>249</v>
      </c>
      <c r="B32" s="35"/>
      <c r="C32" s="132">
        <v>2336518</v>
      </c>
      <c r="D32" s="132"/>
      <c r="E32" s="132"/>
      <c r="F32" s="132"/>
      <c r="G32" s="35" t="s">
        <v>167</v>
      </c>
      <c r="H32" s="35" t="s">
        <v>116</v>
      </c>
      <c r="I32" s="20">
        <f>IFERROR(((J32*100)/K32)," ")</f>
        <v>67.589999528700872</v>
      </c>
      <c r="J32" s="21">
        <f t="shared" si="3"/>
        <v>272.483</v>
      </c>
      <c r="K32" s="100">
        <f t="shared" ref="K32" si="9">+M32+O32+Q32+S32+U32</f>
        <v>403.14100000000002</v>
      </c>
      <c r="L32" s="144">
        <f>+IFERROR(VLOOKUP(C32,'Nemlig Q4'!$A$2:$H$67,5,FALSE),0)</f>
        <v>272.483</v>
      </c>
      <c r="M32" s="144">
        <f>+IFERROR(VLOOKUP(C32,'Nemlig Q4'!$A$2:$H$67,8,FALSE),0)</f>
        <v>403.14100000000002</v>
      </c>
      <c r="N32" s="123" t="str">
        <f>+IFERROR(VLOOKUP(B32,'Hørkram Q4'!$A$6:$D$62,4,FALSE),"0")</f>
        <v>0</v>
      </c>
      <c r="O32" s="124" t="str">
        <f>+IFERROR(VLOOKUP(B32,'Hørkram Q4'!$A$6:$D$62,3,FALSE),"0")</f>
        <v>0</v>
      </c>
      <c r="P32" s="170"/>
      <c r="Q32" s="171"/>
      <c r="R32" s="153"/>
      <c r="S32" s="100"/>
      <c r="T32" s="181"/>
      <c r="U32" s="182"/>
      <c r="V32" s="102"/>
      <c r="W32" s="116"/>
      <c r="X32" s="116"/>
    </row>
    <row r="33" spans="1:24" ht="15.5" x14ac:dyDescent="0.35">
      <c r="A33" s="11" t="s">
        <v>132</v>
      </c>
      <c r="B33" s="35">
        <v>200012841</v>
      </c>
      <c r="C33" s="132">
        <v>2248847</v>
      </c>
      <c r="D33" s="132"/>
      <c r="E33" s="132"/>
      <c r="F33" s="132"/>
      <c r="G33" s="35" t="s">
        <v>167</v>
      </c>
      <c r="H33" s="35" t="s">
        <v>115</v>
      </c>
      <c r="I33" s="20">
        <f t="shared" si="0"/>
        <v>78.399609064010534</v>
      </c>
      <c r="J33" s="21">
        <f t="shared" si="3"/>
        <v>1198.4469999999999</v>
      </c>
      <c r="K33" s="100">
        <f t="shared" si="1"/>
        <v>1528.6389999999999</v>
      </c>
      <c r="L33" s="144">
        <f>+IFERROR(VLOOKUP(C33,'Nemlig Q4'!$A$2:$H$67,5,FALSE),0)</f>
        <v>0</v>
      </c>
      <c r="M33" s="144">
        <f>+IFERROR(VLOOKUP(C33,'Nemlig Q4'!$A$2:$H$67,8,FALSE),0)</f>
        <v>0</v>
      </c>
      <c r="N33" s="123">
        <f>+IFERROR(VLOOKUP(B33,'Hørkram Q4'!$A$6:$D$62,4,FALSE),"0")</f>
        <v>1183.4469999999999</v>
      </c>
      <c r="O33" s="124">
        <f>+IFERROR(VLOOKUP(B33,'Hørkram Q4'!$A$6:$D$62,3,FALSE),"0")</f>
        <v>1511.8689999999999</v>
      </c>
      <c r="P33" s="168"/>
      <c r="Q33" s="169"/>
      <c r="R33" s="150">
        <v>15</v>
      </c>
      <c r="S33" s="158">
        <v>16.77</v>
      </c>
      <c r="T33" s="181"/>
      <c r="U33" s="182"/>
      <c r="V33" s="102"/>
      <c r="W33" s="116"/>
      <c r="X33" s="116"/>
    </row>
    <row r="34" spans="1:24" ht="15.5" x14ac:dyDescent="0.35">
      <c r="A34" s="11" t="s">
        <v>34</v>
      </c>
      <c r="B34" s="35">
        <v>200107653</v>
      </c>
      <c r="C34" s="132"/>
      <c r="D34" s="132"/>
      <c r="E34" s="132"/>
      <c r="F34" s="132"/>
      <c r="G34" s="35" t="s">
        <v>167</v>
      </c>
      <c r="H34" s="35" t="s">
        <v>115</v>
      </c>
      <c r="I34" s="20">
        <f t="shared" si="0"/>
        <v>85.504391794442512</v>
      </c>
      <c r="J34" s="21">
        <f t="shared" si="3"/>
        <v>604.71100000000001</v>
      </c>
      <c r="K34" s="100">
        <f t="shared" si="1"/>
        <v>707.22800000000007</v>
      </c>
      <c r="L34" s="144">
        <f>+IFERROR(VLOOKUP(C34,'Nemlig Q4'!$A$2:$H$67,5,FALSE),0)</f>
        <v>0</v>
      </c>
      <c r="M34" s="144">
        <f>+IFERROR(VLOOKUP(C34,'Nemlig Q4'!$A$2:$H$67,8,FALSE),0)</f>
        <v>0</v>
      </c>
      <c r="N34" s="123">
        <f>+IFERROR(VLOOKUP(B34,'Hørkram Q4'!$A$6:$D$62,4,FALSE),"0")</f>
        <v>604.71100000000001</v>
      </c>
      <c r="O34" s="124">
        <f>+IFERROR(VLOOKUP(B34,'Hørkram Q4'!$A$6:$D$62,3,FALSE),"0")</f>
        <v>700.85</v>
      </c>
      <c r="P34" s="168"/>
      <c r="Q34" s="169"/>
      <c r="R34" s="153"/>
      <c r="S34" s="156">
        <v>6.3780000000000001</v>
      </c>
      <c r="T34" s="181"/>
      <c r="U34" s="182"/>
      <c r="V34" s="29"/>
    </row>
    <row r="35" spans="1:24" ht="15.5" x14ac:dyDescent="0.35">
      <c r="A35" s="11" t="s">
        <v>7</v>
      </c>
      <c r="B35" s="35">
        <v>200040189</v>
      </c>
      <c r="C35" s="132">
        <v>2164133</v>
      </c>
      <c r="D35" s="132"/>
      <c r="E35" s="132"/>
      <c r="F35" s="132"/>
      <c r="G35" s="35" t="s">
        <v>167</v>
      </c>
      <c r="H35" s="35" t="s">
        <v>115</v>
      </c>
      <c r="I35" s="20">
        <f t="shared" si="0"/>
        <v>90.410962656943028</v>
      </c>
      <c r="J35" s="21">
        <f t="shared" si="3"/>
        <v>2310.1329999999998</v>
      </c>
      <c r="K35" s="100">
        <f t="shared" si="1"/>
        <v>2555.1469999999999</v>
      </c>
      <c r="L35" s="144">
        <f>+IFERROR(VLOOKUP(C35,'Nemlig Q4'!$A$2:$H$67,5,FALSE),0)</f>
        <v>176.79900000000001</v>
      </c>
      <c r="M35" s="144">
        <f>+IFERROR(VLOOKUP(C35,'Nemlig Q4'!$A$2:$H$67,8,FALSE),0)</f>
        <v>205.41200000000001</v>
      </c>
      <c r="N35" s="123">
        <f>+IFERROR(VLOOKUP(B35,'Hørkram Q4'!$A$6:$D$62,4,FALSE),"0")</f>
        <v>2121.3339999999998</v>
      </c>
      <c r="O35" s="124">
        <f>+IFERROR(VLOOKUP(B35,'Hørkram Q4'!$A$6:$D$62,3,FALSE),"0")</f>
        <v>2337.7350000000001</v>
      </c>
      <c r="P35" s="168"/>
      <c r="Q35" s="169"/>
      <c r="R35" s="155">
        <v>12</v>
      </c>
      <c r="S35" s="152">
        <v>12</v>
      </c>
      <c r="T35" s="181"/>
      <c r="U35" s="182"/>
      <c r="V35" s="29"/>
    </row>
    <row r="36" spans="1:24" ht="15.5" x14ac:dyDescent="0.35">
      <c r="A36" s="11" t="s">
        <v>104</v>
      </c>
      <c r="B36" s="35"/>
      <c r="C36" s="132"/>
      <c r="D36" s="132"/>
      <c r="E36" s="132"/>
      <c r="F36" s="132"/>
      <c r="G36" s="35" t="s">
        <v>168</v>
      </c>
      <c r="H36" s="35" t="s">
        <v>117</v>
      </c>
      <c r="I36" s="20" t="str">
        <f>IFERROR(((J36*100)/K36)," ")</f>
        <v xml:space="preserve"> </v>
      </c>
      <c r="J36" s="21">
        <f t="shared" si="3"/>
        <v>0</v>
      </c>
      <c r="K36" s="100">
        <f t="shared" si="1"/>
        <v>0</v>
      </c>
      <c r="L36" s="144">
        <f>+IFERROR(VLOOKUP(C36,'Nemlig Q4'!$A$2:$H$67,5,FALSE),0)</f>
        <v>0</v>
      </c>
      <c r="M36" s="144">
        <f>+IFERROR(VLOOKUP(C36,'Nemlig Q4'!$A$2:$H$67,8,FALSE),0)</f>
        <v>0</v>
      </c>
      <c r="N36" s="123" t="str">
        <f>+IFERROR(VLOOKUP(B36,'Hørkram Q4'!$A$6:$D$62,4,FALSE),"0")</f>
        <v>0</v>
      </c>
      <c r="O36" s="124" t="str">
        <f>+IFERROR(VLOOKUP(B36,'Hørkram Q4'!$A$6:$D$62,3,FALSE),"0")</f>
        <v>0</v>
      </c>
      <c r="P36" s="168"/>
      <c r="Q36" s="169"/>
      <c r="R36" s="155"/>
      <c r="S36" s="152"/>
      <c r="T36" s="181"/>
      <c r="U36" s="182"/>
      <c r="V36" s="29"/>
    </row>
    <row r="37" spans="1:24" ht="15.5" x14ac:dyDescent="0.35">
      <c r="A37" s="11" t="s">
        <v>94</v>
      </c>
      <c r="B37" s="35"/>
      <c r="C37" s="132">
        <v>2200834</v>
      </c>
      <c r="D37" s="132"/>
      <c r="E37" s="132"/>
      <c r="F37" s="132"/>
      <c r="G37" s="35" t="s">
        <v>168</v>
      </c>
      <c r="H37" s="35" t="s">
        <v>116</v>
      </c>
      <c r="I37" s="20" t="str">
        <f>IFERROR(((J37*100)/K37)," ")</f>
        <v xml:space="preserve"> </v>
      </c>
      <c r="J37" s="21">
        <f t="shared" si="3"/>
        <v>0</v>
      </c>
      <c r="K37" s="100">
        <f t="shared" ref="K37:K67" si="10">+M37+O37+Q37+S37+U37</f>
        <v>0</v>
      </c>
      <c r="L37" s="144">
        <f>+IFERROR(VLOOKUP(C37,'Nemlig Q4'!$A$2:$H$67,5,FALSE),0)</f>
        <v>0</v>
      </c>
      <c r="M37" s="144">
        <f>+IFERROR(VLOOKUP(C37,'Nemlig Q4'!$A$2:$H$67,8,FALSE),0)</f>
        <v>0</v>
      </c>
      <c r="N37" s="123" t="str">
        <f>+IFERROR(VLOOKUP(B37,'Hørkram Q4'!$A$6:$D$62,4,FALSE),"0")</f>
        <v>0</v>
      </c>
      <c r="O37" s="124" t="str">
        <f>+IFERROR(VLOOKUP(B37,'Hørkram Q4'!$A$6:$D$62,3,FALSE),"0")</f>
        <v>0</v>
      </c>
      <c r="P37" s="170"/>
      <c r="Q37" s="171"/>
      <c r="R37" s="150"/>
      <c r="S37" s="151"/>
      <c r="T37" s="181"/>
      <c r="U37" s="182"/>
      <c r="V37" s="29"/>
    </row>
    <row r="38" spans="1:24" x14ac:dyDescent="0.35">
      <c r="A38" s="11" t="s">
        <v>19</v>
      </c>
      <c r="B38" s="35"/>
      <c r="C38" s="132"/>
      <c r="D38" s="132"/>
      <c r="E38" s="132"/>
      <c r="F38" s="132"/>
      <c r="G38" s="35" t="s">
        <v>168</v>
      </c>
      <c r="H38" s="35" t="s">
        <v>117</v>
      </c>
      <c r="I38" s="20" t="str">
        <f t="shared" ref="I38:I39" si="11">IFERROR(((J38*100)/K38)," ")</f>
        <v xml:space="preserve"> </v>
      </c>
      <c r="J38" s="21">
        <f t="shared" si="3"/>
        <v>0</v>
      </c>
      <c r="K38" s="100">
        <f t="shared" si="10"/>
        <v>0</v>
      </c>
      <c r="L38" s="144">
        <f>+IFERROR(VLOOKUP(C38,'Nemlig Q4'!$A$2:$H$67,5,FALSE),0)</f>
        <v>0</v>
      </c>
      <c r="M38" s="144">
        <f>+IFERROR(VLOOKUP(C38,'Nemlig Q4'!$A$2:$H$67,8,FALSE),0)</f>
        <v>0</v>
      </c>
      <c r="N38" s="123" t="str">
        <f>+IFERROR(VLOOKUP(B38,'Hørkram Q4'!$A$6:$D$62,4,FALSE),"0")</f>
        <v>0</v>
      </c>
      <c r="O38" s="124" t="str">
        <f>+IFERROR(VLOOKUP(B38,'Hørkram Q4'!$A$6:$D$62,3,FALSE),"0")</f>
        <v>0</v>
      </c>
      <c r="P38" s="170"/>
      <c r="Q38" s="171"/>
      <c r="R38" s="153"/>
      <c r="S38" s="156"/>
      <c r="T38" s="181"/>
      <c r="U38" s="182"/>
      <c r="V38" s="29"/>
    </row>
    <row r="39" spans="1:24" ht="15.5" x14ac:dyDescent="0.35">
      <c r="A39" s="11" t="s">
        <v>89</v>
      </c>
      <c r="B39" s="35"/>
      <c r="C39" s="132">
        <v>2308205</v>
      </c>
      <c r="D39" s="132"/>
      <c r="E39" s="132"/>
      <c r="F39" s="132"/>
      <c r="G39" s="35" t="s">
        <v>168</v>
      </c>
      <c r="H39" s="35" t="s">
        <v>117</v>
      </c>
      <c r="I39" s="20" t="str">
        <f t="shared" si="11"/>
        <v xml:space="preserve"> </v>
      </c>
      <c r="J39" s="21">
        <f t="shared" si="3"/>
        <v>0</v>
      </c>
      <c r="K39" s="100">
        <f t="shared" si="10"/>
        <v>0</v>
      </c>
      <c r="L39" s="144">
        <f>+IFERROR(VLOOKUP(C39,'Nemlig Q4'!$A$2:$H$67,5,FALSE),0)</f>
        <v>0</v>
      </c>
      <c r="M39" s="144">
        <f>+IFERROR(VLOOKUP(C39,'Nemlig Q4'!$A$2:$H$67,8,FALSE),0)</f>
        <v>0</v>
      </c>
      <c r="N39" s="123" t="str">
        <f>+IFERROR(VLOOKUP(B39,'Hørkram Q4'!$A$6:$D$62,4,FALSE),"0")</f>
        <v>0</v>
      </c>
      <c r="O39" s="124" t="str">
        <f>+IFERROR(VLOOKUP(B39,'Hørkram Q4'!$A$6:$D$62,3,FALSE),"0")</f>
        <v>0</v>
      </c>
      <c r="P39" s="170"/>
      <c r="Q39" s="171"/>
      <c r="R39" s="155"/>
      <c r="S39" s="157"/>
      <c r="T39" s="181"/>
      <c r="U39" s="182"/>
      <c r="V39" s="29"/>
    </row>
    <row r="40" spans="1:24" x14ac:dyDescent="0.35">
      <c r="A40" s="11" t="s">
        <v>56</v>
      </c>
      <c r="B40" s="35"/>
      <c r="C40" s="132"/>
      <c r="D40" s="132"/>
      <c r="E40" s="132"/>
      <c r="F40" s="132"/>
      <c r="G40" s="35" t="s">
        <v>168</v>
      </c>
      <c r="H40" s="35" t="s">
        <v>117</v>
      </c>
      <c r="I40" s="20" t="str">
        <f>IFERROR(((J40*100)/K40)," ")</f>
        <v xml:space="preserve"> </v>
      </c>
      <c r="J40" s="21">
        <f t="shared" si="3"/>
        <v>0</v>
      </c>
      <c r="K40" s="100">
        <f t="shared" si="10"/>
        <v>0</v>
      </c>
      <c r="L40" s="144">
        <f>+IFERROR(VLOOKUP(C40,'Nemlig Q4'!$A$2:$H$67,5,FALSE),0)</f>
        <v>0</v>
      </c>
      <c r="M40" s="144">
        <f>+IFERROR(VLOOKUP(C40,'Nemlig Q4'!$A$2:$H$67,8,FALSE),0)</f>
        <v>0</v>
      </c>
      <c r="N40" s="123" t="str">
        <f>+IFERROR(VLOOKUP(B40,'Hørkram Q4'!$A$6:$D$62,4,FALSE),"0")</f>
        <v>0</v>
      </c>
      <c r="O40" s="124" t="str">
        <f>+IFERROR(VLOOKUP(B40,'Hørkram Q4'!$A$6:$D$62,3,FALSE),"0")</f>
        <v>0</v>
      </c>
      <c r="P40" s="170"/>
      <c r="Q40" s="171"/>
      <c r="R40" s="153"/>
      <c r="S40" s="154"/>
      <c r="T40" s="181"/>
      <c r="U40" s="182"/>
      <c r="V40" s="29"/>
    </row>
    <row r="41" spans="1:24" x14ac:dyDescent="0.35">
      <c r="A41" s="11" t="s">
        <v>65</v>
      </c>
      <c r="B41" s="35"/>
      <c r="C41" s="132">
        <v>2347486</v>
      </c>
      <c r="D41" s="132"/>
      <c r="E41" s="132"/>
      <c r="F41" s="132"/>
      <c r="G41" s="35" t="s">
        <v>168</v>
      </c>
      <c r="H41" s="35" t="s">
        <v>117</v>
      </c>
      <c r="I41" s="20" t="str">
        <f>IFERROR(((J41*100)/K41)," ")</f>
        <v xml:space="preserve"> </v>
      </c>
      <c r="J41" s="21">
        <f t="shared" si="3"/>
        <v>0</v>
      </c>
      <c r="K41" s="100">
        <f t="shared" si="10"/>
        <v>0</v>
      </c>
      <c r="L41" s="144">
        <f>+IFERROR(VLOOKUP(C41,'Nemlig Q4'!$A$2:$H$67,5,FALSE),0)</f>
        <v>0</v>
      </c>
      <c r="M41" s="144">
        <f>+IFERROR(VLOOKUP(C41,'Nemlig Q4'!$A$2:$H$67,8,FALSE),0)</f>
        <v>0</v>
      </c>
      <c r="N41" s="123" t="str">
        <f>+IFERROR(VLOOKUP(B41,'Hørkram Q4'!$A$6:$D$62,4,FALSE),"0")</f>
        <v>0</v>
      </c>
      <c r="O41" s="124" t="str">
        <f>+IFERROR(VLOOKUP(B41,'Hørkram Q4'!$A$6:$D$62,3,FALSE),"0")</f>
        <v>0</v>
      </c>
      <c r="P41" s="170"/>
      <c r="Q41" s="171"/>
      <c r="R41" s="153"/>
      <c r="S41" s="154"/>
      <c r="T41" s="181"/>
      <c r="U41" s="182"/>
      <c r="V41" s="29"/>
    </row>
    <row r="42" spans="1:24" x14ac:dyDescent="0.35">
      <c r="A42" s="11" t="s">
        <v>54</v>
      </c>
      <c r="B42" s="35"/>
      <c r="C42" s="132">
        <v>1066946</v>
      </c>
      <c r="D42" s="132"/>
      <c r="E42" s="132"/>
      <c r="F42" s="132"/>
      <c r="G42" s="35" t="s">
        <v>167</v>
      </c>
      <c r="H42" s="35" t="s">
        <v>117</v>
      </c>
      <c r="I42" s="20">
        <f t="shared" ref="I42:I67" si="12">(J42*100)/K42</f>
        <v>75.018020607094215</v>
      </c>
      <c r="J42" s="21">
        <f t="shared" si="3"/>
        <v>159.23099999999999</v>
      </c>
      <c r="K42" s="100">
        <f t="shared" si="10"/>
        <v>212.25700000000001</v>
      </c>
      <c r="L42" s="144">
        <f>+IFERROR(VLOOKUP(C42,'Nemlig Q4'!$A$2:$H$67,5,FALSE),0)</f>
        <v>147.23099999999999</v>
      </c>
      <c r="M42" s="144">
        <f>+IFERROR(VLOOKUP(C42,'Nemlig Q4'!$A$2:$H$67,8,FALSE),0)</f>
        <v>200.25700000000001</v>
      </c>
      <c r="N42" s="123" t="str">
        <f>+IFERROR(VLOOKUP(B42,'Hørkram Q4'!$A$6:$D$62,4,FALSE),"0")</f>
        <v>0</v>
      </c>
      <c r="O42" s="124" t="str">
        <f>+IFERROR(VLOOKUP(B42,'Hørkram Q4'!$A$6:$D$62,3,FALSE),"0")</f>
        <v>0</v>
      </c>
      <c r="P42" s="170"/>
      <c r="Q42" s="171"/>
      <c r="R42" s="153">
        <v>12</v>
      </c>
      <c r="S42" s="154">
        <v>12</v>
      </c>
      <c r="T42" s="181"/>
      <c r="U42" s="182"/>
      <c r="V42" s="29"/>
    </row>
    <row r="43" spans="1:24" ht="15.5" x14ac:dyDescent="0.35">
      <c r="A43" s="13" t="s">
        <v>74</v>
      </c>
      <c r="B43" s="36"/>
      <c r="C43" s="133">
        <v>2164274</v>
      </c>
      <c r="D43" s="133"/>
      <c r="E43" s="133"/>
      <c r="F43" s="133"/>
      <c r="G43" s="36" t="s">
        <v>168</v>
      </c>
      <c r="H43" s="35" t="s">
        <v>116</v>
      </c>
      <c r="I43" s="20" t="e">
        <f t="shared" si="12"/>
        <v>#DIV/0!</v>
      </c>
      <c r="J43" s="21">
        <f t="shared" si="3"/>
        <v>0</v>
      </c>
      <c r="K43" s="100">
        <f t="shared" si="10"/>
        <v>0</v>
      </c>
      <c r="L43" s="144">
        <f>+IFERROR(VLOOKUP(C43,'Nemlig Q4'!$A$2:$H$67,5,FALSE),0)</f>
        <v>0</v>
      </c>
      <c r="M43" s="144">
        <f>+IFERROR(VLOOKUP(C43,'Nemlig Q4'!$A$2:$H$67,8,FALSE),0)</f>
        <v>0</v>
      </c>
      <c r="N43" s="123" t="str">
        <f>+IFERROR(VLOOKUP(B43,'Hørkram Q4'!$A$6:$D$62,4,FALSE),"0")</f>
        <v>0</v>
      </c>
      <c r="O43" s="124" t="str">
        <f>+IFERROR(VLOOKUP(B43,'Hørkram Q4'!$A$6:$D$62,3,FALSE),"0")</f>
        <v>0</v>
      </c>
      <c r="P43" s="168"/>
      <c r="Q43" s="169"/>
      <c r="R43" s="153"/>
      <c r="S43" s="154"/>
      <c r="T43" s="183"/>
      <c r="U43" s="184"/>
      <c r="V43" s="29"/>
    </row>
    <row r="44" spans="1:24" ht="15.5" x14ac:dyDescent="0.35">
      <c r="A44" s="11" t="s">
        <v>75</v>
      </c>
      <c r="B44" s="35"/>
      <c r="C44" s="132">
        <v>1091281</v>
      </c>
      <c r="D44" s="132"/>
      <c r="E44" s="132"/>
      <c r="F44" s="132"/>
      <c r="G44" s="35" t="s">
        <v>168</v>
      </c>
      <c r="H44" s="35" t="s">
        <v>116</v>
      </c>
      <c r="I44" s="20">
        <f t="shared" si="12"/>
        <v>8.8791786788545242</v>
      </c>
      <c r="J44" s="21">
        <f t="shared" si="3"/>
        <v>146.327</v>
      </c>
      <c r="K44" s="100">
        <f t="shared" si="10"/>
        <v>1647.979</v>
      </c>
      <c r="L44" s="144">
        <f>+IFERROR(VLOOKUP(C44,'Nemlig Q4'!$A$2:$H$65,5,FALSE),0)+'Nemlig Q4'!E65+'Nemlig Q4'!E63</f>
        <v>146.327</v>
      </c>
      <c r="M44" s="144">
        <f>+IFERROR(VLOOKUP(C44,'Nemlig Q4'!$A$2:$H$65,8,FALSE),0)+'Nemlig Q4'!H65+'Nemlig Q4'!H63</f>
        <v>1647.979</v>
      </c>
      <c r="N44" s="123" t="str">
        <f>+IFERROR(VLOOKUP(B44,'Hørkram Q4'!$A$6:$D$62,4,FALSE),"0")</f>
        <v>0</v>
      </c>
      <c r="O44" s="124" t="str">
        <f>+IFERROR(VLOOKUP(B44,'Hørkram Q4'!$A$6:$D$62,3,FALSE),"0")</f>
        <v>0</v>
      </c>
      <c r="P44" s="172"/>
      <c r="Q44" s="169"/>
      <c r="R44" s="153"/>
      <c r="S44" s="154"/>
      <c r="T44" s="181"/>
      <c r="U44" s="182"/>
      <c r="V44" s="29"/>
    </row>
    <row r="45" spans="1:24" ht="15.5" x14ac:dyDescent="0.35">
      <c r="A45" s="11" t="s">
        <v>50</v>
      </c>
      <c r="B45" s="35">
        <v>200225982</v>
      </c>
      <c r="C45" s="132"/>
      <c r="D45" s="132"/>
      <c r="E45" s="132"/>
      <c r="F45" s="132"/>
      <c r="G45" s="35" t="s">
        <v>168</v>
      </c>
      <c r="H45" s="35" t="s">
        <v>122</v>
      </c>
      <c r="I45" s="20">
        <f t="shared" si="12"/>
        <v>54.814814814814817</v>
      </c>
      <c r="J45" s="21">
        <f t="shared" si="3"/>
        <v>148</v>
      </c>
      <c r="K45" s="100">
        <f t="shared" si="10"/>
        <v>270</v>
      </c>
      <c r="L45" s="144">
        <f>+IFERROR(VLOOKUP(C45,'Nemlig Q4'!$A$2:$H$67,5,FALSE),0)</f>
        <v>0</v>
      </c>
      <c r="M45" s="144">
        <f>+IFERROR(VLOOKUP(C45,'Nemlig Q4'!$A$2:$H$67,8,FALSE),0)</f>
        <v>0</v>
      </c>
      <c r="N45" s="123">
        <f>+IFERROR(VLOOKUP(B45,'Hørkram Q4'!$A$6:$D$62,4,FALSE),"0")</f>
        <v>148</v>
      </c>
      <c r="O45" s="124">
        <f>+IFERROR(VLOOKUP(B45,'Hørkram Q4'!$A$6:$D$62,3,FALSE),"0")</f>
        <v>148</v>
      </c>
      <c r="P45" s="168"/>
      <c r="Q45" s="169"/>
      <c r="R45" s="155"/>
      <c r="S45" s="159">
        <f>122</f>
        <v>122</v>
      </c>
      <c r="T45" s="181"/>
      <c r="U45" s="182"/>
      <c r="V45" s="29"/>
    </row>
    <row r="46" spans="1:24" x14ac:dyDescent="0.35">
      <c r="A46" s="11" t="s">
        <v>58</v>
      </c>
      <c r="B46" s="35"/>
      <c r="C46" s="132"/>
      <c r="D46" s="132"/>
      <c r="E46" s="132"/>
      <c r="F46" s="132"/>
      <c r="G46" s="35" t="s">
        <v>168</v>
      </c>
      <c r="H46" s="35" t="s">
        <v>115</v>
      </c>
      <c r="I46" s="20" t="str">
        <f>IFERROR(((J46*100)/K46)," ")</f>
        <v xml:space="preserve"> </v>
      </c>
      <c r="J46" s="21">
        <f t="shared" si="3"/>
        <v>0</v>
      </c>
      <c r="K46" s="100">
        <f t="shared" si="10"/>
        <v>0</v>
      </c>
      <c r="L46" s="144">
        <f>+IFERROR(VLOOKUP(C46,'Nemlig Q4'!$A$2:$H$67,5,FALSE),0)</f>
        <v>0</v>
      </c>
      <c r="M46" s="144">
        <f>+IFERROR(VLOOKUP(C46,'Nemlig Q4'!$A$2:$H$67,8,FALSE),0)</f>
        <v>0</v>
      </c>
      <c r="N46" s="123" t="str">
        <f>+IFERROR(VLOOKUP(B46,'Hørkram Q4'!$A$6:$D$62,4,FALSE),"0")</f>
        <v>0</v>
      </c>
      <c r="O46" s="124" t="str">
        <f>+IFERROR(VLOOKUP(B46,'Hørkram Q4'!$A$6:$D$62,3,FALSE),"0")</f>
        <v>0</v>
      </c>
      <c r="P46" s="173"/>
      <c r="Q46" s="174"/>
      <c r="R46" s="153"/>
      <c r="S46" s="156"/>
      <c r="T46" s="181"/>
      <c r="U46" s="182"/>
      <c r="V46" s="29"/>
    </row>
    <row r="47" spans="1:24" ht="17.5" customHeight="1" x14ac:dyDescent="0.35">
      <c r="A47" s="11" t="s">
        <v>15</v>
      </c>
      <c r="B47" s="35">
        <v>200512464</v>
      </c>
      <c r="C47" s="132"/>
      <c r="D47" s="132"/>
      <c r="E47" s="132"/>
      <c r="F47" s="132"/>
      <c r="G47" s="35" t="s">
        <v>167</v>
      </c>
      <c r="H47" s="35" t="s">
        <v>115</v>
      </c>
      <c r="I47" s="20">
        <f t="shared" si="12"/>
        <v>99.120037364567281</v>
      </c>
      <c r="J47" s="21">
        <f t="shared" si="3"/>
        <v>1610.769</v>
      </c>
      <c r="K47" s="100">
        <f t="shared" si="10"/>
        <v>1625.069</v>
      </c>
      <c r="L47" s="144">
        <f>+IFERROR(VLOOKUP(C47,'Nemlig Q4'!$A$2:$H$67,5,FALSE),0)</f>
        <v>0</v>
      </c>
      <c r="M47" s="144">
        <f>+IFERROR(VLOOKUP(C47,'Nemlig Q4'!$A$2:$H$67,8,FALSE),0)</f>
        <v>0</v>
      </c>
      <c r="N47" s="123">
        <f>+IFERROR(VLOOKUP(B47,'Hørkram Q4'!$A$6:$D$62,4,FALSE),"0")</f>
        <v>1609.769</v>
      </c>
      <c r="O47" s="124">
        <f>+IFERROR(VLOOKUP(B47,'Hørkram Q4'!$A$6:$D$62,3,FALSE),"0")</f>
        <v>1619.069</v>
      </c>
      <c r="P47" s="172"/>
      <c r="Q47" s="175"/>
      <c r="R47" s="155">
        <v>1</v>
      </c>
      <c r="S47" s="157">
        <v>6</v>
      </c>
      <c r="T47" s="181"/>
      <c r="U47" s="182"/>
      <c r="V47" s="30"/>
    </row>
    <row r="48" spans="1:24" ht="15.5" x14ac:dyDescent="0.35">
      <c r="A48" s="11" t="s">
        <v>57</v>
      </c>
      <c r="B48" s="35"/>
      <c r="C48" s="132">
        <v>2407997</v>
      </c>
      <c r="D48" s="132"/>
      <c r="E48" s="132"/>
      <c r="F48" s="132"/>
      <c r="G48" s="35" t="s">
        <v>168</v>
      </c>
      <c r="H48" s="35" t="s">
        <v>122</v>
      </c>
      <c r="I48" s="20">
        <f>IFERROR(((J48*100)/K48)," ")</f>
        <v>72.800702370500431</v>
      </c>
      <c r="J48" s="21">
        <f t="shared" si="3"/>
        <v>8.2919999999999998</v>
      </c>
      <c r="K48" s="100">
        <f t="shared" si="10"/>
        <v>11.39</v>
      </c>
      <c r="L48" s="144">
        <f>+IFERROR(VLOOKUP(C48,'Nemlig Q4'!$A$2:$H$67,5,FALSE),0)</f>
        <v>8.2919999999999998</v>
      </c>
      <c r="M48" s="144">
        <f>+IFERROR(VLOOKUP(C48,'Nemlig Q4'!$A$2:$H$67,8,FALSE),0)</f>
        <v>11.39</v>
      </c>
      <c r="N48" s="123" t="str">
        <f>+IFERROR(VLOOKUP(B48,'Hørkram Q4'!$A$6:$D$62,4,FALSE),"0")</f>
        <v>0</v>
      </c>
      <c r="O48" s="124" t="str">
        <f>+IFERROR(VLOOKUP(B48,'Hørkram Q4'!$A$6:$D$62,3,FALSE),"0")</f>
        <v>0</v>
      </c>
      <c r="P48" s="168"/>
      <c r="Q48" s="169"/>
      <c r="R48" s="153"/>
      <c r="S48" s="154"/>
      <c r="T48" s="181"/>
      <c r="U48" s="182"/>
      <c r="V48" s="29"/>
    </row>
    <row r="49" spans="1:24" ht="15.5" x14ac:dyDescent="0.35">
      <c r="A49" s="11" t="s">
        <v>108</v>
      </c>
      <c r="B49" s="35" t="s">
        <v>210</v>
      </c>
      <c r="C49" s="132">
        <v>1128479</v>
      </c>
      <c r="D49" s="132"/>
      <c r="E49" s="132"/>
      <c r="F49" s="132"/>
      <c r="G49" s="35" t="s">
        <v>167</v>
      </c>
      <c r="H49" s="35" t="s">
        <v>116</v>
      </c>
      <c r="I49" s="20">
        <f t="shared" si="12"/>
        <v>34.791272992371844</v>
      </c>
      <c r="J49" s="21">
        <f t="shared" si="3"/>
        <v>1099.5419999999999</v>
      </c>
      <c r="K49" s="100">
        <f t="shared" si="10"/>
        <v>3160.3959999999997</v>
      </c>
      <c r="L49" s="144">
        <f>+IFERROR(VLOOKUP(C49,'Nemlig Q4'!$A$2:$H$67,5,FALSE),0)</f>
        <v>241.72499999999999</v>
      </c>
      <c r="M49" s="144">
        <f>+IFERROR(VLOOKUP(C49,'Nemlig Q4'!$A$2:$H$67,8,FALSE),0)</f>
        <v>980.47900000000004</v>
      </c>
      <c r="N49" s="123">
        <f>+'Hørkram Q4'!D23+'Hørkram Q4'!D31</f>
        <v>857.81700000000001</v>
      </c>
      <c r="O49" s="124">
        <f>+'Hørkram Q4'!C23+'Hørkram Q4'!C31</f>
        <v>2179.9169999999999</v>
      </c>
      <c r="P49" s="168"/>
      <c r="Q49" s="169"/>
      <c r="R49" s="155"/>
      <c r="S49" s="152"/>
      <c r="T49" s="185"/>
      <c r="U49" s="186"/>
      <c r="V49" s="29"/>
    </row>
    <row r="50" spans="1:24" ht="15.5" x14ac:dyDescent="0.35">
      <c r="A50" s="11" t="s">
        <v>175</v>
      </c>
      <c r="B50" s="35"/>
      <c r="C50" s="132"/>
      <c r="D50" s="132"/>
      <c r="E50" s="132"/>
      <c r="F50" s="132"/>
      <c r="G50" s="35" t="s">
        <v>168</v>
      </c>
      <c r="H50" s="35" t="s">
        <v>116</v>
      </c>
      <c r="I50" s="20">
        <f t="shared" si="12"/>
        <v>0</v>
      </c>
      <c r="J50" s="21">
        <f t="shared" si="3"/>
        <v>0</v>
      </c>
      <c r="K50" s="100">
        <f t="shared" si="10"/>
        <v>21.77</v>
      </c>
      <c r="L50" s="144">
        <f>+IFERROR(VLOOKUP(C50,'Nemlig Q4'!$A$2:$H$67,5,FALSE),0)</f>
        <v>0</v>
      </c>
      <c r="M50" s="144">
        <f>+IFERROR(VLOOKUP(C50,'Nemlig Q4'!$A$2:$H$67,8,FALSE),0)</f>
        <v>0</v>
      </c>
      <c r="N50" s="123" t="str">
        <f>+IFERROR(VLOOKUP(B50,'Hørkram Q4'!$A$6:$D$62,4,FALSE),"0")</f>
        <v>0</v>
      </c>
      <c r="O50" s="124" t="str">
        <f>+IFERROR(VLOOKUP(B50,'Hørkram Q4'!$A$6:$D$62,3,FALSE),"0")</f>
        <v>0</v>
      </c>
      <c r="P50" s="170"/>
      <c r="Q50" s="171"/>
      <c r="R50" s="155">
        <v>0</v>
      </c>
      <c r="S50" s="152">
        <v>21.77</v>
      </c>
      <c r="T50" s="181"/>
      <c r="U50" s="182"/>
      <c r="V50" s="29"/>
    </row>
    <row r="51" spans="1:24" ht="15.5" x14ac:dyDescent="0.35">
      <c r="A51" s="11" t="s">
        <v>81</v>
      </c>
      <c r="B51" s="35"/>
      <c r="C51" s="132"/>
      <c r="D51" s="132"/>
      <c r="E51" s="132"/>
      <c r="F51" s="132"/>
      <c r="G51" s="35" t="s">
        <v>168</v>
      </c>
      <c r="H51" s="35" t="s">
        <v>116</v>
      </c>
      <c r="I51" s="20" t="str">
        <f>IFERROR(((J51*100)/K51)," ")</f>
        <v xml:space="preserve"> </v>
      </c>
      <c r="J51" s="21">
        <f t="shared" si="3"/>
        <v>0</v>
      </c>
      <c r="K51" s="100">
        <f t="shared" si="10"/>
        <v>0</v>
      </c>
      <c r="L51" s="144">
        <f>+IFERROR(VLOOKUP(C51,'Nemlig Q4'!$A$2:$H$67,5,FALSE),0)</f>
        <v>0</v>
      </c>
      <c r="M51" s="144">
        <f>+IFERROR(VLOOKUP(C51,'Nemlig Q4'!$A$2:$H$67,8,FALSE),0)</f>
        <v>0</v>
      </c>
      <c r="N51" s="123" t="str">
        <f>+IFERROR(VLOOKUP(B51,'Hørkram Q4'!$A$6:$D$62,4,FALSE),"0")</f>
        <v>0</v>
      </c>
      <c r="O51" s="124" t="str">
        <f>+IFERROR(VLOOKUP(B51,'Hørkram Q4'!$A$6:$D$62,3,FALSE),"0")</f>
        <v>0</v>
      </c>
      <c r="P51" s="168"/>
      <c r="Q51" s="169"/>
      <c r="R51" s="155"/>
      <c r="S51" s="152"/>
      <c r="T51" s="181"/>
      <c r="U51" s="182"/>
      <c r="V51" s="29"/>
    </row>
    <row r="52" spans="1:24" ht="15.5" x14ac:dyDescent="0.35">
      <c r="A52" s="11" t="s">
        <v>25</v>
      </c>
      <c r="B52" s="35"/>
      <c r="C52" s="132"/>
      <c r="D52" s="132"/>
      <c r="E52" s="132"/>
      <c r="F52" s="132"/>
      <c r="G52" s="35" t="s">
        <v>168</v>
      </c>
      <c r="H52" s="35" t="s">
        <v>122</v>
      </c>
      <c r="I52" s="20">
        <f t="shared" si="12"/>
        <v>0</v>
      </c>
      <c r="J52" s="21">
        <f t="shared" si="3"/>
        <v>0</v>
      </c>
      <c r="K52" s="100">
        <f t="shared" si="10"/>
        <v>44.8</v>
      </c>
      <c r="L52" s="144">
        <f>+IFERROR(VLOOKUP(C52,'Nemlig Q4'!$A$2:$H$67,5,FALSE),0)</f>
        <v>0</v>
      </c>
      <c r="M52" s="144">
        <f>+IFERROR(VLOOKUP(C52,'Nemlig Q4'!$A$2:$H$67,8,FALSE),0)</f>
        <v>0</v>
      </c>
      <c r="N52" s="123" t="str">
        <f>+IFERROR(VLOOKUP(B52,'Hørkram Q4'!$A$6:$D$62,4,FALSE),"0")</f>
        <v>0</v>
      </c>
      <c r="O52" s="124" t="str">
        <f>+IFERROR(VLOOKUP(B52,'Hørkram Q4'!$A$6:$D$62,3,FALSE),"0")</f>
        <v>0</v>
      </c>
      <c r="P52" s="170"/>
      <c r="Q52" s="171"/>
      <c r="R52" s="155">
        <v>0</v>
      </c>
      <c r="S52" s="152">
        <v>44.8</v>
      </c>
      <c r="T52" s="181"/>
      <c r="U52" s="182"/>
      <c r="V52" s="29"/>
    </row>
    <row r="53" spans="1:24" ht="15.5" x14ac:dyDescent="0.35">
      <c r="A53" s="11" t="s">
        <v>73</v>
      </c>
      <c r="B53" s="35"/>
      <c r="C53" s="132">
        <v>1111606</v>
      </c>
      <c r="D53" s="132">
        <v>1145780</v>
      </c>
      <c r="E53" s="132"/>
      <c r="F53" s="132"/>
      <c r="G53" s="35" t="s">
        <v>168</v>
      </c>
      <c r="H53" s="35" t="s">
        <v>119</v>
      </c>
      <c r="I53" s="20">
        <f t="shared" si="12"/>
        <v>27.302312532563825</v>
      </c>
      <c r="J53" s="21">
        <f t="shared" si="3"/>
        <v>170.30500000000001</v>
      </c>
      <c r="K53" s="100">
        <f t="shared" si="10"/>
        <v>623.77499999999998</v>
      </c>
      <c r="L53" s="144">
        <f>+IFERROR(VLOOKUP(C53,'Nemlig Q4'!$A$2:$H$67,5,FALSE),0)+'Nemlig Q4'!E14</f>
        <v>170.30500000000001</v>
      </c>
      <c r="M53" s="144">
        <f>+IFERROR(VLOOKUP(C53,'Nemlig Q4'!$A$2:$H$67,8,FALSE),0)+'Nemlig Q4'!H14</f>
        <v>623.77499999999998</v>
      </c>
      <c r="N53" s="123" t="str">
        <f>+IFERROR(VLOOKUP(B53,'Hørkram Q4'!$A$6:$D$62,4,FALSE),"0")</f>
        <v>0</v>
      </c>
      <c r="O53" s="124" t="str">
        <f>+IFERROR(VLOOKUP(B53,'Hørkram Q4'!$A$6:$D$62,3,FALSE),"0")</f>
        <v>0</v>
      </c>
      <c r="P53" s="172"/>
      <c r="Q53" s="169"/>
      <c r="R53" s="153"/>
      <c r="S53" s="156"/>
      <c r="T53" s="181"/>
      <c r="U53" s="182"/>
      <c r="V53" s="29"/>
      <c r="W53" s="5"/>
      <c r="X53" s="5"/>
    </row>
    <row r="54" spans="1:24" ht="15.5" x14ac:dyDescent="0.35">
      <c r="A54" s="11" t="s">
        <v>103</v>
      </c>
      <c r="B54" s="35"/>
      <c r="C54" s="132"/>
      <c r="D54" s="132"/>
      <c r="E54" s="132"/>
      <c r="F54" s="132"/>
      <c r="G54" s="35" t="s">
        <v>168</v>
      </c>
      <c r="H54" s="35" t="s">
        <v>117</v>
      </c>
      <c r="I54" s="20" t="str">
        <f>IFERROR(((J54*100)/K54)," ")</f>
        <v xml:space="preserve"> </v>
      </c>
      <c r="J54" s="21">
        <f t="shared" si="3"/>
        <v>0</v>
      </c>
      <c r="K54" s="100">
        <f t="shared" si="10"/>
        <v>0</v>
      </c>
      <c r="L54" s="144">
        <f>+IFERROR(VLOOKUP(C54,'Nemlig Q4'!$A$2:$H$67,5,FALSE),0)</f>
        <v>0</v>
      </c>
      <c r="M54" s="144">
        <f>+IFERROR(VLOOKUP(C54,'Nemlig Q4'!$A$2:$H$67,8,FALSE),0)</f>
        <v>0</v>
      </c>
      <c r="N54" s="123" t="str">
        <f>+IFERROR(VLOOKUP(B54,'Hørkram Q4'!$A$6:$D$62,4,FALSE),"0")</f>
        <v>0</v>
      </c>
      <c r="O54" s="124" t="str">
        <f>+IFERROR(VLOOKUP(B54,'Hørkram Q4'!$A$6:$D$62,3,FALSE),"0")</f>
        <v>0</v>
      </c>
      <c r="P54" s="168"/>
      <c r="Q54" s="169"/>
      <c r="R54" s="155"/>
      <c r="S54" s="152"/>
      <c r="T54" s="181"/>
      <c r="U54" s="182"/>
      <c r="V54" s="31"/>
    </row>
    <row r="55" spans="1:24" ht="15.5" x14ac:dyDescent="0.35">
      <c r="A55" s="11" t="s">
        <v>52</v>
      </c>
      <c r="B55" s="35"/>
      <c r="C55" s="132">
        <v>2296749</v>
      </c>
      <c r="D55" s="132">
        <v>2296585</v>
      </c>
      <c r="E55" s="132"/>
      <c r="F55" s="132"/>
      <c r="G55" s="35" t="s">
        <v>168</v>
      </c>
      <c r="H55" s="35" t="s">
        <v>122</v>
      </c>
      <c r="I55" s="20">
        <f t="shared" si="12"/>
        <v>0</v>
      </c>
      <c r="J55" s="21">
        <f t="shared" si="3"/>
        <v>0</v>
      </c>
      <c r="K55" s="100">
        <f t="shared" si="10"/>
        <v>89.68</v>
      </c>
      <c r="L55" s="144">
        <f>+IFERROR(VLOOKUP(C55,'Nemlig Q4'!$A$2:$H$67,5,FALSE),0)</f>
        <v>0</v>
      </c>
      <c r="M55" s="144">
        <f>+IFERROR(VLOOKUP(C55,'Nemlig Q4'!$A$2:$H$67,8,FALSE),0)</f>
        <v>0</v>
      </c>
      <c r="N55" s="123" t="str">
        <f>+IFERROR(VLOOKUP(B55,'Hørkram Q4'!$A$6:$D$62,4,FALSE),"0")</f>
        <v>0</v>
      </c>
      <c r="O55" s="124" t="str">
        <f>+IFERROR(VLOOKUP(B55,'Hørkram Q4'!$A$6:$D$62,3,FALSE),"0")</f>
        <v>0</v>
      </c>
      <c r="P55" s="168"/>
      <c r="Q55" s="169"/>
      <c r="R55" s="155">
        <v>0</v>
      </c>
      <c r="S55" s="157">
        <f>71.68+18</f>
        <v>89.68</v>
      </c>
      <c r="T55" s="181"/>
      <c r="U55" s="182"/>
      <c r="V55" s="29"/>
    </row>
    <row r="56" spans="1:24" ht="15.5" x14ac:dyDescent="0.35">
      <c r="A56" s="11" t="s">
        <v>68</v>
      </c>
      <c r="B56" s="35"/>
      <c r="C56" s="132">
        <v>1613945</v>
      </c>
      <c r="D56" s="132"/>
      <c r="E56" s="132"/>
      <c r="F56" s="132"/>
      <c r="G56" s="35" t="s">
        <v>167</v>
      </c>
      <c r="H56" s="35" t="s">
        <v>115</v>
      </c>
      <c r="I56" s="20">
        <f t="shared" si="12"/>
        <v>70.874092375958043</v>
      </c>
      <c r="J56" s="21">
        <f t="shared" si="3"/>
        <v>112.446</v>
      </c>
      <c r="K56" s="100">
        <f t="shared" si="10"/>
        <v>158.65600000000001</v>
      </c>
      <c r="L56" s="144">
        <f>+IFERROR(VLOOKUP(C56,'Nemlig Q4'!$A$2:$H$67,5,FALSE),0)</f>
        <v>112.446</v>
      </c>
      <c r="M56" s="144">
        <f>+IFERROR(VLOOKUP(C56,'Nemlig Q4'!$A$2:$H$67,8,FALSE),0)</f>
        <v>158.65600000000001</v>
      </c>
      <c r="N56" s="123" t="str">
        <f>+IFERROR(VLOOKUP(B56,'Hørkram Q4'!$A$6:$D$62,4,FALSE),"0")</f>
        <v>0</v>
      </c>
      <c r="O56" s="124" t="str">
        <f>+IFERROR(VLOOKUP(B56,'Hørkram Q4'!$A$6:$D$62,3,FALSE),"0")</f>
        <v>0</v>
      </c>
      <c r="P56" s="168"/>
      <c r="Q56" s="169"/>
      <c r="R56" s="153"/>
      <c r="S56" s="156"/>
      <c r="T56" s="181"/>
      <c r="U56" s="182"/>
      <c r="V56" s="29"/>
    </row>
    <row r="57" spans="1:24" ht="15.5" x14ac:dyDescent="0.35">
      <c r="A57" s="11" t="s">
        <v>84</v>
      </c>
      <c r="B57" s="35"/>
      <c r="C57" s="132">
        <v>2155984</v>
      </c>
      <c r="D57" s="132">
        <v>1387175</v>
      </c>
      <c r="E57" s="132">
        <v>2154841</v>
      </c>
      <c r="F57" s="132">
        <v>2329044</v>
      </c>
      <c r="G57" s="35" t="s">
        <v>168</v>
      </c>
      <c r="H57" s="35" t="s">
        <v>122</v>
      </c>
      <c r="I57" s="20">
        <f t="shared" si="12"/>
        <v>62.300341773034809</v>
      </c>
      <c r="J57" s="21">
        <f t="shared" si="3"/>
        <v>17.864000000000001</v>
      </c>
      <c r="K57" s="100">
        <f t="shared" si="10"/>
        <v>28.673999999999999</v>
      </c>
      <c r="L57" s="144">
        <f>+IFERROR(VLOOKUP(C57,'Nemlig Q4'!$A$2:$H$65,5,FALSE),0)+'Nemlig Q4'!E62</f>
        <v>9.8640000000000008</v>
      </c>
      <c r="M57" s="144">
        <f>+IFERROR(VLOOKUP(C57,'Nemlig Q4'!$A$2:$H$65,8,FALSE),0)+'Nemlig Q4'!H62</f>
        <v>20.673999999999999</v>
      </c>
      <c r="N57" s="123" t="str">
        <f>+IFERROR(VLOOKUP(B57,'Hørkram Q4'!$A$6:$D$62,4,FALSE),"0")</f>
        <v>0</v>
      </c>
      <c r="O57" s="124" t="str">
        <f>+IFERROR(VLOOKUP(B57,'Hørkram Q4'!$A$6:$D$62,3,FALSE),"0")</f>
        <v>0</v>
      </c>
      <c r="P57" s="170"/>
      <c r="Q57" s="171"/>
      <c r="R57" s="155">
        <v>8</v>
      </c>
      <c r="S57" s="152">
        <v>8</v>
      </c>
      <c r="T57" s="181"/>
      <c r="U57" s="182"/>
      <c r="V57" s="29"/>
    </row>
    <row r="58" spans="1:24" ht="15.5" x14ac:dyDescent="0.35">
      <c r="A58" s="11" t="s">
        <v>8</v>
      </c>
      <c r="B58" s="35">
        <v>200049625</v>
      </c>
      <c r="C58" s="132"/>
      <c r="D58" s="132"/>
      <c r="E58" s="132"/>
      <c r="F58" s="132"/>
      <c r="G58" s="35" t="s">
        <v>167</v>
      </c>
      <c r="H58" s="35" t="s">
        <v>115</v>
      </c>
      <c r="I58" s="20">
        <f t="shared" si="12"/>
        <v>95.780992921882373</v>
      </c>
      <c r="J58" s="21">
        <f t="shared" si="3"/>
        <v>1698.1289999999999</v>
      </c>
      <c r="K58" s="100">
        <f t="shared" si="10"/>
        <v>1772.9290000000001</v>
      </c>
      <c r="L58" s="144">
        <f>+IFERROR(VLOOKUP(C58,'Nemlig Q4'!$A$2:$H$67,5,FALSE),0)</f>
        <v>0</v>
      </c>
      <c r="M58" s="144">
        <f>+IFERROR(VLOOKUP(C58,'Nemlig Q4'!$A$2:$H$67,8,FALSE),0)</f>
        <v>0</v>
      </c>
      <c r="N58" s="123">
        <f>+IFERROR(VLOOKUP(B58,'Hørkram Q4'!$A$6:$D$62,4,FALSE),"0")</f>
        <v>1698.1289999999999</v>
      </c>
      <c r="O58" s="124">
        <f>+IFERROR(VLOOKUP(B58,'Hørkram Q4'!$A$6:$D$62,3,FALSE),"0")</f>
        <v>1772.9290000000001</v>
      </c>
      <c r="P58" s="168"/>
      <c r="Q58" s="169"/>
      <c r="R58" s="155"/>
      <c r="S58" s="152"/>
      <c r="T58" s="181"/>
      <c r="U58" s="182"/>
      <c r="V58" s="29"/>
    </row>
    <row r="59" spans="1:24" ht="15.5" x14ac:dyDescent="0.35">
      <c r="A59" s="11" t="s">
        <v>107</v>
      </c>
      <c r="B59" s="35"/>
      <c r="C59" s="132">
        <v>2312561</v>
      </c>
      <c r="D59" s="132"/>
      <c r="E59" s="132"/>
      <c r="F59" s="132"/>
      <c r="G59" s="35" t="s">
        <v>168</v>
      </c>
      <c r="H59" s="35" t="s">
        <v>122</v>
      </c>
      <c r="I59" s="20">
        <f t="shared" si="12"/>
        <v>9.3309694877297744</v>
      </c>
      <c r="J59" s="21">
        <f t="shared" si="3"/>
        <v>20</v>
      </c>
      <c r="K59" s="100">
        <f t="shared" si="10"/>
        <v>214.34</v>
      </c>
      <c r="L59" s="144">
        <f>+IFERROR(VLOOKUP(C59,'Nemlig Q4'!$A$2:$H$67,5,FALSE),0)</f>
        <v>0</v>
      </c>
      <c r="M59" s="144">
        <f>+IFERROR(VLOOKUP(C59,'Nemlig Q4'!$A$2:$H$67,8,FALSE),0)</f>
        <v>136.87</v>
      </c>
      <c r="N59" s="123" t="str">
        <f>+IFERROR(VLOOKUP(B59,'Hørkram Q4'!$A$6:$D$62,4,FALSE),"0")</f>
        <v>0</v>
      </c>
      <c r="O59" s="124" t="str">
        <f>+IFERROR(VLOOKUP(B59,'Hørkram Q4'!$A$6:$D$62,3,FALSE),"0")</f>
        <v>0</v>
      </c>
      <c r="P59" s="168"/>
      <c r="Q59" s="169"/>
      <c r="R59" s="153">
        <v>20</v>
      </c>
      <c r="S59" s="154">
        <f>47.47+30</f>
        <v>77.47</v>
      </c>
      <c r="T59" s="181"/>
      <c r="U59" s="182"/>
      <c r="V59" s="29"/>
    </row>
    <row r="60" spans="1:24" ht="15.5" x14ac:dyDescent="0.35">
      <c r="A60" s="11" t="s">
        <v>30</v>
      </c>
      <c r="B60" s="35"/>
      <c r="C60" s="132">
        <v>2242256</v>
      </c>
      <c r="D60" s="132"/>
      <c r="E60" s="132"/>
      <c r="F60" s="132"/>
      <c r="G60" s="35" t="s">
        <v>168</v>
      </c>
      <c r="H60" s="35" t="s">
        <v>117</v>
      </c>
      <c r="I60" s="20" t="str">
        <f>IFERROR(((J60*100)/K60)," ")</f>
        <v xml:space="preserve"> </v>
      </c>
      <c r="J60" s="21">
        <f t="shared" si="3"/>
        <v>0</v>
      </c>
      <c r="K60" s="100">
        <f t="shared" si="10"/>
        <v>0</v>
      </c>
      <c r="L60" s="144">
        <f>+IFERROR(VLOOKUP(C60,'Nemlig Q4'!$A$2:$H$67,5,FALSE),0)</f>
        <v>0</v>
      </c>
      <c r="M60" s="144">
        <f>+IFERROR(VLOOKUP(C60,'Nemlig Q4'!$A$2:$H$67,8,FALSE),0)</f>
        <v>0</v>
      </c>
      <c r="N60" s="123" t="str">
        <f>+IFERROR(VLOOKUP(B60,'Hørkram Q4'!$A$6:$D$62,4,FALSE),"0")</f>
        <v>0</v>
      </c>
      <c r="O60" s="124" t="str">
        <f>+IFERROR(VLOOKUP(B60,'Hørkram Q4'!$A$6:$D$62,3,FALSE),"0")</f>
        <v>0</v>
      </c>
      <c r="P60" s="168"/>
      <c r="Q60" s="169"/>
      <c r="R60" s="153"/>
      <c r="S60" s="154"/>
      <c r="T60" s="181"/>
      <c r="U60" s="182"/>
      <c r="V60" s="29"/>
    </row>
    <row r="61" spans="1:24" ht="15.5" x14ac:dyDescent="0.35">
      <c r="A61" s="11" t="s">
        <v>203</v>
      </c>
      <c r="B61" s="35">
        <v>200042435</v>
      </c>
      <c r="C61" s="132"/>
      <c r="D61" s="132"/>
      <c r="E61" s="132"/>
      <c r="F61" s="132"/>
      <c r="G61" s="35" t="s">
        <v>167</v>
      </c>
      <c r="H61" s="35" t="s">
        <v>118</v>
      </c>
      <c r="I61" s="20">
        <f t="shared" si="12"/>
        <v>26.050507086588521</v>
      </c>
      <c r="J61" s="21">
        <f t="shared" si="3"/>
        <v>639.721</v>
      </c>
      <c r="K61" s="100">
        <f t="shared" si="10"/>
        <v>2455.6950000000002</v>
      </c>
      <c r="L61" s="144">
        <f>+IFERROR(VLOOKUP(C61,'Nemlig Q4'!$A$2:$H$67,5,FALSE),0)</f>
        <v>0</v>
      </c>
      <c r="M61" s="144">
        <f>+IFERROR(VLOOKUP(C61,'Nemlig Q4'!$A$2:$H$67,8,FALSE),0)</f>
        <v>0</v>
      </c>
      <c r="N61" s="123">
        <f>+IFERROR(VLOOKUP(B61,'Hørkram Q4'!$A$6:$D$62,4,FALSE),"0")</f>
        <v>639.721</v>
      </c>
      <c r="O61" s="124">
        <f>+IFERROR(VLOOKUP(B61,'Hørkram Q4'!$A$6:$D$62,3,FALSE),"0")</f>
        <v>2455.6950000000002</v>
      </c>
      <c r="P61" s="170"/>
      <c r="Q61" s="171"/>
      <c r="R61" s="155"/>
      <c r="S61" s="152"/>
      <c r="T61" s="181"/>
      <c r="U61" s="182"/>
      <c r="V61" s="29"/>
    </row>
    <row r="62" spans="1:24" ht="15.5" x14ac:dyDescent="0.35">
      <c r="A62" s="11" t="s">
        <v>87</v>
      </c>
      <c r="B62" s="35"/>
      <c r="C62" s="132">
        <v>2162988</v>
      </c>
      <c r="D62" s="132"/>
      <c r="E62" s="132"/>
      <c r="F62" s="132"/>
      <c r="G62" s="35" t="s">
        <v>168</v>
      </c>
      <c r="H62" s="35" t="s">
        <v>119</v>
      </c>
      <c r="I62" s="20">
        <f t="shared" si="12"/>
        <v>20.892354770248257</v>
      </c>
      <c r="J62" s="21">
        <f t="shared" si="3"/>
        <v>71.960999999999999</v>
      </c>
      <c r="K62" s="100">
        <f t="shared" si="10"/>
        <v>344.43700000000001</v>
      </c>
      <c r="L62" s="144">
        <f>+IFERROR(VLOOKUP(C62,'Nemlig Q4'!$A$2:$H$67,5,FALSE),0)</f>
        <v>71.960999999999999</v>
      </c>
      <c r="M62" s="144">
        <f>+IFERROR(VLOOKUP(C62,'Nemlig Q4'!$A$2:$H$67,8,FALSE),0)</f>
        <v>344.43700000000001</v>
      </c>
      <c r="N62" s="123" t="str">
        <f>+IFERROR(VLOOKUP(B62,'Hørkram Q4'!$A$6:$D$62,4,FALSE),"0")</f>
        <v>0</v>
      </c>
      <c r="O62" s="124" t="str">
        <f>+IFERROR(VLOOKUP(B62,'Hørkram Q4'!$A$6:$D$62,3,FALSE),"0")</f>
        <v>0</v>
      </c>
      <c r="P62" s="168"/>
      <c r="Q62" s="169"/>
      <c r="R62" s="153"/>
      <c r="S62" s="156"/>
      <c r="T62" s="181"/>
      <c r="U62" s="182"/>
      <c r="V62" s="29"/>
    </row>
    <row r="63" spans="1:24" x14ac:dyDescent="0.35">
      <c r="A63" s="11" t="s">
        <v>110</v>
      </c>
      <c r="B63" s="35">
        <v>200044538</v>
      </c>
      <c r="C63" s="132"/>
      <c r="D63" s="132"/>
      <c r="E63" s="132"/>
      <c r="F63" s="132"/>
      <c r="G63" s="35" t="s">
        <v>168</v>
      </c>
      <c r="H63" s="35" t="s">
        <v>116</v>
      </c>
      <c r="I63" s="20">
        <f t="shared" si="12"/>
        <v>69.880849077929369</v>
      </c>
      <c r="J63" s="21">
        <f t="shared" si="3"/>
        <v>574.995</v>
      </c>
      <c r="K63" s="100">
        <f t="shared" si="10"/>
        <v>822.822</v>
      </c>
      <c r="L63" s="144">
        <f>+IFERROR(VLOOKUP(C63,'Nemlig Q4'!$A$2:$H$67,5,FALSE),0)</f>
        <v>0</v>
      </c>
      <c r="M63" s="144">
        <f>+IFERROR(VLOOKUP(C63,'Nemlig Q4'!$A$2:$H$67,8,FALSE),0)</f>
        <v>0</v>
      </c>
      <c r="N63" s="123">
        <f>+IFERROR(VLOOKUP(B63,'Hørkram Q4'!$A$6:$D$62,4,FALSE),"0")</f>
        <v>574.995</v>
      </c>
      <c r="O63" s="124">
        <f>+IFERROR(VLOOKUP(B63,'Hørkram Q4'!$A$6:$D$62,3,FALSE),"0")</f>
        <v>822.822</v>
      </c>
      <c r="P63" s="170"/>
      <c r="Q63" s="171"/>
      <c r="R63" s="153"/>
      <c r="S63" s="156"/>
      <c r="T63" s="181"/>
      <c r="U63" s="182"/>
      <c r="V63" s="29"/>
    </row>
    <row r="64" spans="1:24" ht="15.5" x14ac:dyDescent="0.35">
      <c r="A64" s="11" t="s">
        <v>111</v>
      </c>
      <c r="B64" s="35">
        <v>200043647</v>
      </c>
      <c r="C64" s="132">
        <v>2386462</v>
      </c>
      <c r="D64" s="132"/>
      <c r="E64" s="132"/>
      <c r="F64" s="132"/>
      <c r="G64" s="35" t="s">
        <v>168</v>
      </c>
      <c r="H64" s="35" t="s">
        <v>116</v>
      </c>
      <c r="I64" s="20">
        <f t="shared" si="12"/>
        <v>9.7649282099181107</v>
      </c>
      <c r="J64" s="21">
        <f t="shared" si="3"/>
        <v>112.387</v>
      </c>
      <c r="K64" s="100">
        <f t="shared" si="10"/>
        <v>1150.925</v>
      </c>
      <c r="L64" s="144">
        <f>+IFERROR(VLOOKUP(C64,'Nemlig Q4'!$A$2:$H$67,5,FALSE),0)+'Nemlig Q4'!E64</f>
        <v>13.996</v>
      </c>
      <c r="M64" s="144">
        <f>+IFERROR(VLOOKUP(C64,'Nemlig Q4'!$A$2:$H$67,8,FALSE),0)+'Nemlig Q4'!H64</f>
        <v>436.815</v>
      </c>
      <c r="N64" s="123">
        <f>+IFERROR(VLOOKUP(B64,'Hørkram Q4'!$A$6:$D$62,4,FALSE),"0")</f>
        <v>98.391000000000005</v>
      </c>
      <c r="O64" s="124">
        <f>+IFERROR(VLOOKUP(B64,'Hørkram Q4'!$A$6:$D$62,3,FALSE),"0")</f>
        <v>714.11</v>
      </c>
      <c r="P64" s="168"/>
      <c r="Q64" s="169"/>
      <c r="R64" s="153"/>
      <c r="S64" s="154"/>
      <c r="T64" s="181"/>
      <c r="U64" s="182"/>
      <c r="V64" s="29"/>
    </row>
    <row r="65" spans="1:24" x14ac:dyDescent="0.35">
      <c r="A65" s="11" t="s">
        <v>47</v>
      </c>
      <c r="B65" s="35">
        <v>200140674</v>
      </c>
      <c r="C65" s="132">
        <v>2222649</v>
      </c>
      <c r="D65" s="132"/>
      <c r="E65" s="132"/>
      <c r="F65" s="132"/>
      <c r="G65" s="35" t="s">
        <v>168</v>
      </c>
      <c r="H65" s="35" t="s">
        <v>116</v>
      </c>
      <c r="I65" s="20">
        <f>IFERROR(((J65*100)/K65),"")</f>
        <v>13.459545417612539</v>
      </c>
      <c r="J65" s="21">
        <f t="shared" si="3"/>
        <v>81.168999999999997</v>
      </c>
      <c r="K65" s="100">
        <f t="shared" si="10"/>
        <v>603.05899999999997</v>
      </c>
      <c r="L65" s="144">
        <f>+IFERROR(VLOOKUP(C65,'Nemlig Q4'!$A$2:$H$67,5,FALSE),0)</f>
        <v>73.938999999999993</v>
      </c>
      <c r="M65" s="144">
        <f>+IFERROR(VLOOKUP(C65,'Nemlig Q4'!$A$2:$H$67,8,FALSE),0)</f>
        <v>458.84100000000001</v>
      </c>
      <c r="N65" s="123">
        <f>+IFERROR(VLOOKUP(B65,'Hørkram Q4'!$A$6:$D$62,4,FALSE),"0")</f>
        <v>7.23</v>
      </c>
      <c r="O65" s="124">
        <f>+IFERROR(VLOOKUP(B65,'Hørkram Q4'!$A$6:$D$62,3,FALSE),"0")</f>
        <v>144.21799999999999</v>
      </c>
      <c r="P65" s="170"/>
      <c r="Q65" s="171"/>
      <c r="R65" s="153"/>
      <c r="S65" s="154"/>
      <c r="T65" s="181"/>
      <c r="U65" s="182"/>
      <c r="V65" s="29"/>
    </row>
    <row r="66" spans="1:24" ht="15.5" x14ac:dyDescent="0.35">
      <c r="A66" s="11" t="s">
        <v>112</v>
      </c>
      <c r="B66" s="35">
        <v>200055084</v>
      </c>
      <c r="C66" s="132">
        <v>2162953</v>
      </c>
      <c r="D66" s="132"/>
      <c r="E66" s="132"/>
      <c r="F66" s="132"/>
      <c r="G66" s="35" t="s">
        <v>167</v>
      </c>
      <c r="H66" s="35" t="s">
        <v>116</v>
      </c>
      <c r="I66" s="20">
        <f t="shared" si="12"/>
        <v>87.556581851253867</v>
      </c>
      <c r="J66" s="21">
        <f t="shared" si="3"/>
        <v>419.74099999999999</v>
      </c>
      <c r="K66" s="100">
        <f t="shared" si="10"/>
        <v>479.39400000000001</v>
      </c>
      <c r="L66" s="144">
        <f>+IFERROR(VLOOKUP(C66,'Nemlig Q4'!$A$2:$H$67,5,FALSE),0)</f>
        <v>58.917000000000002</v>
      </c>
      <c r="M66" s="144">
        <f>+IFERROR(VLOOKUP(C66,'Nemlig Q4'!$A$2:$H$67,8,FALSE),0)</f>
        <v>68.494</v>
      </c>
      <c r="N66" s="123">
        <f>+IFERROR(VLOOKUP(B66,'Hørkram Q4'!$A$6:$D$62,4,FALSE),"0")</f>
        <v>360.82400000000001</v>
      </c>
      <c r="O66" s="124">
        <f>+IFERROR(VLOOKUP(B66,'Hørkram Q4'!$A$6:$D$62,3,FALSE),"0")</f>
        <v>410.9</v>
      </c>
      <c r="P66" s="170"/>
      <c r="Q66" s="171"/>
      <c r="R66" s="155"/>
      <c r="S66" s="157"/>
      <c r="T66" s="181"/>
      <c r="U66" s="182"/>
      <c r="V66" s="29"/>
    </row>
    <row r="67" spans="1:24" ht="15.5" x14ac:dyDescent="0.35">
      <c r="A67" s="11" t="s">
        <v>172</v>
      </c>
      <c r="B67" s="35">
        <v>200182711</v>
      </c>
      <c r="C67" s="132">
        <v>1346990</v>
      </c>
      <c r="D67" s="132"/>
      <c r="E67" s="132"/>
      <c r="F67" s="132"/>
      <c r="G67" s="35" t="s">
        <v>168</v>
      </c>
      <c r="H67" s="35" t="s">
        <v>122</v>
      </c>
      <c r="I67" s="20">
        <f t="shared" si="12"/>
        <v>33.786037373783522</v>
      </c>
      <c r="J67" s="21">
        <f t="shared" si="3"/>
        <v>29.579000000000001</v>
      </c>
      <c r="K67" s="100">
        <f t="shared" si="10"/>
        <v>87.548000000000002</v>
      </c>
      <c r="L67" s="144">
        <f>+IFERROR(VLOOKUP(C67,'Nemlig Q4'!$A$2:$H$67,5,FALSE),0)</f>
        <v>0</v>
      </c>
      <c r="M67" s="144">
        <f>+IFERROR(VLOOKUP(C67,'Nemlig Q4'!$A$2:$H$67,8,FALSE),0)</f>
        <v>0</v>
      </c>
      <c r="N67" s="123">
        <f>+IFERROR(VLOOKUP(B67,'Hørkram Q4'!$A$6:$D$62,4,FALSE),"0")</f>
        <v>29.579000000000001</v>
      </c>
      <c r="O67" s="124">
        <f>+IFERROR(VLOOKUP(B67,'Hørkram Q4'!$A$6:$D$62,3,FALSE),"0")</f>
        <v>50.308</v>
      </c>
      <c r="P67" s="170"/>
      <c r="Q67" s="171"/>
      <c r="R67" s="150"/>
      <c r="S67" s="157">
        <v>37.24</v>
      </c>
      <c r="T67" s="181"/>
      <c r="U67" s="182"/>
      <c r="V67" s="29"/>
    </row>
    <row r="68" spans="1:24" ht="15.5" x14ac:dyDescent="0.35">
      <c r="A68" s="11" t="s">
        <v>22</v>
      </c>
      <c r="B68" s="35">
        <v>200652832</v>
      </c>
      <c r="C68" s="132"/>
      <c r="D68" s="132"/>
      <c r="E68" s="132"/>
      <c r="F68" s="132"/>
      <c r="G68" s="35" t="s">
        <v>167</v>
      </c>
      <c r="H68" s="35" t="s">
        <v>120</v>
      </c>
      <c r="I68" s="20">
        <f t="shared" ref="I68:I98" si="13">(J68*100)/K68</f>
        <v>71.6145222376947</v>
      </c>
      <c r="J68" s="21">
        <f t="shared" si="3"/>
        <v>1468.2660000000001</v>
      </c>
      <c r="K68" s="100">
        <f t="shared" ref="K68:K98" si="14">+M68+O68+Q68+S68+U68</f>
        <v>2050.2350000000001</v>
      </c>
      <c r="L68" s="144">
        <f>+IFERROR(VLOOKUP(C68,'Nemlig Q4'!$A$2:$H$67,5,FALSE),0)</f>
        <v>0</v>
      </c>
      <c r="M68" s="144">
        <f>+IFERROR(VLOOKUP(C68,'Nemlig Q4'!$A$2:$H$67,8,FALSE),0)</f>
        <v>0</v>
      </c>
      <c r="N68" s="123">
        <f>+IFERROR(VLOOKUP(B68,'Hørkram Q4'!$A$6:$D$62,4,FALSE),"0")</f>
        <v>1420.2660000000001</v>
      </c>
      <c r="O68" s="124">
        <f>+IFERROR(VLOOKUP(B68,'Hørkram Q4'!$A$6:$D$62,3,FALSE),"0")</f>
        <v>1981.377</v>
      </c>
      <c r="P68" s="168"/>
      <c r="Q68" s="169"/>
      <c r="R68" s="153">
        <v>48</v>
      </c>
      <c r="S68" s="154">
        <f>20+48.858</f>
        <v>68.858000000000004</v>
      </c>
      <c r="T68" s="181"/>
      <c r="U68" s="182"/>
      <c r="V68" s="29"/>
    </row>
    <row r="69" spans="1:24" ht="15.5" x14ac:dyDescent="0.35">
      <c r="A69" s="11" t="s">
        <v>48</v>
      </c>
      <c r="B69" s="35">
        <v>200536248</v>
      </c>
      <c r="C69" s="132"/>
      <c r="D69" s="132"/>
      <c r="E69" s="132"/>
      <c r="F69" s="132"/>
      <c r="G69" s="35" t="s">
        <v>167</v>
      </c>
      <c r="H69" s="35" t="s">
        <v>120</v>
      </c>
      <c r="I69" s="20">
        <f t="shared" si="13"/>
        <v>52.103350297304289</v>
      </c>
      <c r="J69" s="21">
        <f t="shared" si="3"/>
        <v>848.83600000000001</v>
      </c>
      <c r="K69" s="100">
        <f t="shared" si="14"/>
        <v>1629.1389999999999</v>
      </c>
      <c r="L69" s="144">
        <f>+IFERROR(VLOOKUP(C69,'Nemlig Q4'!$A$2:$H$67,5,FALSE),0)</f>
        <v>0</v>
      </c>
      <c r="M69" s="144">
        <f>+IFERROR(VLOOKUP(C69,'Nemlig Q4'!$A$2:$H$67,8,FALSE),0)</f>
        <v>0</v>
      </c>
      <c r="N69" s="123">
        <f>+IFERROR(VLOOKUP(B69,'Hørkram Q4'!$A$6:$D$62,4,FALSE),"0")</f>
        <v>828.83600000000001</v>
      </c>
      <c r="O69" s="124">
        <f>+IFERROR(VLOOKUP(B69,'Hørkram Q4'!$A$6:$D$62,3,FALSE),"0")</f>
        <v>1608.1389999999999</v>
      </c>
      <c r="P69" s="168"/>
      <c r="Q69" s="169"/>
      <c r="R69" s="153">
        <v>20</v>
      </c>
      <c r="S69" s="154">
        <v>21</v>
      </c>
      <c r="T69" s="181"/>
      <c r="U69" s="182"/>
      <c r="V69" s="29"/>
    </row>
    <row r="70" spans="1:24" ht="15.5" x14ac:dyDescent="0.35">
      <c r="A70" s="11" t="s">
        <v>12</v>
      </c>
      <c r="B70" s="35">
        <v>200692968</v>
      </c>
      <c r="C70" s="132"/>
      <c r="D70" s="132"/>
      <c r="E70" s="132"/>
      <c r="F70" s="132"/>
      <c r="G70" s="35" t="s">
        <v>167</v>
      </c>
      <c r="H70" s="35" t="s">
        <v>120</v>
      </c>
      <c r="I70" s="20">
        <f t="shared" si="13"/>
        <v>40.849033990425774</v>
      </c>
      <c r="J70" s="21">
        <f t="shared" ref="J70:J104" si="15">+L70+N70+P70+R70+T70</f>
        <v>10388.575999999999</v>
      </c>
      <c r="K70" s="100">
        <f t="shared" si="14"/>
        <v>25431.632000000001</v>
      </c>
      <c r="L70" s="144">
        <f>+IFERROR(VLOOKUP(C70,'Nemlig Q4'!$A$2:$H$67,5,FALSE),0)</f>
        <v>0</v>
      </c>
      <c r="M70" s="144">
        <f>+IFERROR(VLOOKUP(C70,'Nemlig Q4'!$A$2:$H$67,8,FALSE),0)</f>
        <v>0</v>
      </c>
      <c r="N70" s="123">
        <f>+IFERROR(VLOOKUP(B70,'Hørkram Q4'!$A$6:$D$62,4,FALSE),"0")</f>
        <v>10388.575999999999</v>
      </c>
      <c r="O70" s="124">
        <f>+IFERROR(VLOOKUP(B70,'Hørkram Q4'!$A$6:$D$62,3,FALSE),"0")</f>
        <v>25360.632000000001</v>
      </c>
      <c r="P70" s="170"/>
      <c r="Q70" s="171"/>
      <c r="R70" s="155">
        <v>0</v>
      </c>
      <c r="S70" s="156">
        <v>71</v>
      </c>
      <c r="T70" s="181"/>
      <c r="U70" s="182"/>
      <c r="V70" s="29"/>
    </row>
    <row r="71" spans="1:24" x14ac:dyDescent="0.35">
      <c r="A71" s="11" t="s">
        <v>23</v>
      </c>
      <c r="B71" s="35">
        <v>200652849</v>
      </c>
      <c r="C71" s="132"/>
      <c r="D71" s="132"/>
      <c r="E71" s="132"/>
      <c r="F71" s="132"/>
      <c r="G71" s="35" t="s">
        <v>167</v>
      </c>
      <c r="H71" s="35" t="s">
        <v>120</v>
      </c>
      <c r="I71" s="20">
        <f t="shared" si="13"/>
        <v>53.384022274576992</v>
      </c>
      <c r="J71" s="21">
        <f t="shared" si="15"/>
        <v>907.27</v>
      </c>
      <c r="K71" s="100">
        <f t="shared" si="14"/>
        <v>1699.5160000000001</v>
      </c>
      <c r="L71" s="144">
        <f>+IFERROR(VLOOKUP(C71,'Nemlig Q4'!$A$2:$H$67,5,FALSE),0)</f>
        <v>0</v>
      </c>
      <c r="M71" s="144">
        <f>+IFERROR(VLOOKUP(C71,'Nemlig Q4'!$A$2:$H$67,8,FALSE),0)</f>
        <v>0</v>
      </c>
      <c r="N71" s="123">
        <f>+IFERROR(VLOOKUP(B71,'Hørkram Q4'!$A$6:$D$62,4,FALSE),"0")</f>
        <v>907.27</v>
      </c>
      <c r="O71" s="124">
        <f>+IFERROR(VLOOKUP(B71,'Hørkram Q4'!$A$6:$D$62,3,FALSE),"0")</f>
        <v>1658.5160000000001</v>
      </c>
      <c r="P71" s="170"/>
      <c r="Q71" s="171"/>
      <c r="R71" s="153">
        <v>0</v>
      </c>
      <c r="S71" s="156">
        <v>41</v>
      </c>
      <c r="T71" s="181"/>
      <c r="U71" s="182"/>
      <c r="V71" s="29"/>
    </row>
    <row r="72" spans="1:24" x14ac:dyDescent="0.35">
      <c r="A72" s="11" t="s">
        <v>24</v>
      </c>
      <c r="B72" s="35">
        <v>200652900</v>
      </c>
      <c r="C72" s="132"/>
      <c r="D72" s="132"/>
      <c r="E72" s="132"/>
      <c r="F72" s="132"/>
      <c r="G72" s="35" t="s">
        <v>167</v>
      </c>
      <c r="H72" s="35" t="s">
        <v>120</v>
      </c>
      <c r="I72" s="20">
        <f t="shared" si="13"/>
        <v>25.671591979620953</v>
      </c>
      <c r="J72" s="21">
        <f t="shared" si="15"/>
        <v>364.60899999999998</v>
      </c>
      <c r="K72" s="100">
        <f t="shared" si="14"/>
        <v>1420.2819999999999</v>
      </c>
      <c r="L72" s="144">
        <f>+IFERROR(VLOOKUP(C72,'Nemlig Q4'!$A$2:$H$67,5,FALSE),0)</f>
        <v>0</v>
      </c>
      <c r="M72" s="144">
        <f>+IFERROR(VLOOKUP(C72,'Nemlig Q4'!$A$2:$H$67,8,FALSE),0)</f>
        <v>0</v>
      </c>
      <c r="N72" s="123">
        <f>+IFERROR(VLOOKUP(B72,'Hørkram Q4'!$A$6:$D$62,4,FALSE),"0")</f>
        <v>304.60899999999998</v>
      </c>
      <c r="O72" s="124">
        <f>+IFERROR(VLOOKUP(B72,'Hørkram Q4'!$A$6:$D$62,3,FALSE),"0")</f>
        <v>1359.2819999999999</v>
      </c>
      <c r="P72" s="170"/>
      <c r="Q72" s="171"/>
      <c r="R72" s="153">
        <v>60</v>
      </c>
      <c r="S72" s="154">
        <v>61</v>
      </c>
      <c r="T72" s="181"/>
      <c r="U72" s="182"/>
      <c r="V72" s="29"/>
    </row>
    <row r="73" spans="1:24" x14ac:dyDescent="0.35">
      <c r="A73" s="11" t="s">
        <v>229</v>
      </c>
      <c r="B73" s="35" t="s">
        <v>251</v>
      </c>
      <c r="C73" s="132"/>
      <c r="D73" s="132"/>
      <c r="E73" s="132"/>
      <c r="F73" s="132"/>
      <c r="G73" s="35"/>
      <c r="H73" s="35" t="s">
        <v>120</v>
      </c>
      <c r="I73" s="20">
        <f t="shared" ref="I73" si="16">(J73*100)/K73</f>
        <v>19.135513089465956</v>
      </c>
      <c r="J73" s="21">
        <f t="shared" si="15"/>
        <v>611.053</v>
      </c>
      <c r="K73" s="100">
        <f t="shared" ref="K73" si="17">+M73+O73+Q73+S73+U73</f>
        <v>3193.2929999999997</v>
      </c>
      <c r="L73" s="144">
        <f>+IFERROR(VLOOKUP(C73,'Nemlig Q4'!$A$2:$H$67,5,FALSE),0)</f>
        <v>0</v>
      </c>
      <c r="M73" s="144">
        <f>+IFERROR(VLOOKUP(C73,'Nemlig Q4'!$A$2:$H$67,8,FALSE),0)</f>
        <v>0</v>
      </c>
      <c r="N73" s="21">
        <f>+'Hørkram Q4'!D45+'Hørkram Q4'!D47</f>
        <v>611.053</v>
      </c>
      <c r="O73" s="100">
        <f>+'Hørkram Q4'!C45+'Hørkram Q4'!C47</f>
        <v>3070.0609999999997</v>
      </c>
      <c r="P73" s="170"/>
      <c r="Q73" s="171"/>
      <c r="R73" s="153">
        <v>0</v>
      </c>
      <c r="S73" s="154">
        <v>123.232</v>
      </c>
      <c r="T73" s="187"/>
      <c r="U73" s="182"/>
      <c r="V73" s="29"/>
    </row>
    <row r="74" spans="1:24" ht="15.5" x14ac:dyDescent="0.35">
      <c r="A74" s="11" t="s">
        <v>173</v>
      </c>
      <c r="B74" s="35"/>
      <c r="C74" s="132">
        <v>2163130</v>
      </c>
      <c r="D74" s="132">
        <v>1088515</v>
      </c>
      <c r="E74" s="132"/>
      <c r="F74" s="132"/>
      <c r="G74" s="35" t="s">
        <v>168</v>
      </c>
      <c r="H74" s="35" t="s">
        <v>116</v>
      </c>
      <c r="I74" s="20">
        <f t="shared" si="13"/>
        <v>56.585151161115832</v>
      </c>
      <c r="J74" s="21">
        <f t="shared" si="15"/>
        <v>353.56100000000004</v>
      </c>
      <c r="K74" s="100">
        <f t="shared" si="14"/>
        <v>624.83000000000004</v>
      </c>
      <c r="L74" s="144">
        <f>+IFERROR(VLOOKUP(C74,'Nemlig Q4'!$A$2:$H$67,5,FALSE),0)+'Nemlig Q4'!E5</f>
        <v>353.56100000000004</v>
      </c>
      <c r="M74" s="144">
        <f>+IFERROR(VLOOKUP(C74,'Nemlig Q4'!$A$2:$H$67,8,FALSE),0)+'Nemlig Q4'!H5</f>
        <v>624.83000000000004</v>
      </c>
      <c r="N74" s="123" t="str">
        <f>+IFERROR(VLOOKUP(B74,'Hørkram Q4'!$A$6:$D$62,4,FALSE),"0")</f>
        <v>0</v>
      </c>
      <c r="O74" s="124" t="str">
        <f>+IFERROR(VLOOKUP(B74,'Hørkram Q4'!$A$6:$D$62,3,FALSE),"0")</f>
        <v>0</v>
      </c>
      <c r="P74" s="170"/>
      <c r="Q74" s="171"/>
      <c r="R74" s="150"/>
      <c r="S74" s="151"/>
      <c r="T74" s="188"/>
      <c r="U74" s="182"/>
      <c r="V74" s="29"/>
    </row>
    <row r="75" spans="1:24" ht="15.5" x14ac:dyDescent="0.35">
      <c r="A75" s="11" t="s">
        <v>215</v>
      </c>
      <c r="B75" s="35">
        <v>200039428</v>
      </c>
      <c r="C75" s="132"/>
      <c r="D75" s="132"/>
      <c r="E75" s="132"/>
      <c r="F75" s="132"/>
      <c r="G75" s="35" t="s">
        <v>167</v>
      </c>
      <c r="H75" s="35" t="s">
        <v>118</v>
      </c>
      <c r="I75" s="20">
        <f>IFERROR(((J75*100)/K75)," ")</f>
        <v>68.828253807010697</v>
      </c>
      <c r="J75" s="21">
        <f t="shared" si="15"/>
        <v>947.22199999999998</v>
      </c>
      <c r="K75" s="100">
        <f t="shared" ref="K75" si="18">+M75+O75+Q75+S75+U75</f>
        <v>1376.211</v>
      </c>
      <c r="L75" s="144">
        <f>+IFERROR(VLOOKUP(C75,'Nemlig Q4'!$A$2:$H$67,5,FALSE),0)</f>
        <v>0</v>
      </c>
      <c r="M75" s="144">
        <f>+IFERROR(VLOOKUP(C75,'Nemlig Q4'!$A$2:$H$67,8,FALSE),0)</f>
        <v>0</v>
      </c>
      <c r="N75" s="123">
        <f>+IFERROR(VLOOKUP(B75,'Hørkram Q4'!$A$6:$D$62,4,FALSE),"0")</f>
        <v>947.22199999999998</v>
      </c>
      <c r="O75" s="124">
        <f>+IFERROR(VLOOKUP(B75,'Hørkram Q4'!$A$6:$D$62,3,FALSE),"0")</f>
        <v>1376.211</v>
      </c>
      <c r="P75" s="168"/>
      <c r="Q75" s="169"/>
      <c r="R75" s="150"/>
      <c r="S75" s="151"/>
      <c r="T75" s="187"/>
      <c r="U75" s="182"/>
      <c r="V75" s="29"/>
    </row>
    <row r="76" spans="1:24" ht="15.5" x14ac:dyDescent="0.35">
      <c r="A76" s="11" t="s">
        <v>59</v>
      </c>
      <c r="B76" s="35" t="s">
        <v>228</v>
      </c>
      <c r="C76" s="132">
        <v>2180848</v>
      </c>
      <c r="D76" s="132">
        <v>1501208</v>
      </c>
      <c r="E76" s="132"/>
      <c r="F76" s="132"/>
      <c r="G76" s="35" t="s">
        <v>168</v>
      </c>
      <c r="H76" s="35" t="s">
        <v>122</v>
      </c>
      <c r="I76" s="20">
        <f t="shared" si="13"/>
        <v>19.907163054386181</v>
      </c>
      <c r="J76" s="21">
        <f t="shared" si="15"/>
        <v>141.43899999999999</v>
      </c>
      <c r="K76" s="100">
        <f>+M76+O76+Q76+S76+U76</f>
        <v>710.49299999999994</v>
      </c>
      <c r="L76" s="144">
        <f>+IFERROR(VLOOKUP(C76,'Nemlig Q4'!$A$2:$H$67,5,FALSE),0)</f>
        <v>0</v>
      </c>
      <c r="M76" s="144">
        <f>+IFERROR(VLOOKUP(C76,'Nemlig Q4'!$A$2:$H$67,8,FALSE),0)</f>
        <v>247.642</v>
      </c>
      <c r="N76" s="21">
        <f>+'Hørkram Q4'!D41+'Hørkram Q4'!D44</f>
        <v>71.438999999999993</v>
      </c>
      <c r="O76" s="100">
        <f>+'Hørkram Q4'!C41+'Hørkram Q4'!C44</f>
        <v>373.851</v>
      </c>
      <c r="P76" s="170"/>
      <c r="Q76" s="171"/>
      <c r="R76" s="150">
        <v>70</v>
      </c>
      <c r="S76" s="151">
        <v>89</v>
      </c>
      <c r="T76" s="181"/>
      <c r="U76" s="182"/>
      <c r="V76" s="29"/>
    </row>
    <row r="77" spans="1:24" ht="15.5" x14ac:dyDescent="0.35">
      <c r="A77" s="11" t="s">
        <v>66</v>
      </c>
      <c r="B77" s="35"/>
      <c r="C77" s="132">
        <v>1166810</v>
      </c>
      <c r="D77" s="132"/>
      <c r="E77" s="132"/>
      <c r="F77" s="132"/>
      <c r="G77" s="35" t="s">
        <v>168</v>
      </c>
      <c r="H77" s="35" t="s">
        <v>119</v>
      </c>
      <c r="I77" s="20">
        <f t="shared" si="13"/>
        <v>19.883300065431477</v>
      </c>
      <c r="J77" s="21">
        <f t="shared" si="15"/>
        <v>48.012999999999998</v>
      </c>
      <c r="K77" s="100">
        <f t="shared" si="14"/>
        <v>241.47399999999999</v>
      </c>
      <c r="L77" s="144">
        <f>+IFERROR(VLOOKUP(C77,'Nemlig Q4'!$A$2:$H$67,5,FALSE),0)</f>
        <v>48.012999999999998</v>
      </c>
      <c r="M77" s="144">
        <f>+IFERROR(VLOOKUP(C77,'Nemlig Q4'!$A$2:$H$67,8,FALSE),0)</f>
        <v>241.47399999999999</v>
      </c>
      <c r="N77" s="123" t="str">
        <f>+IFERROR(VLOOKUP(B77,'Hørkram Q4'!$A$6:$D$62,4,FALSE),"0")</f>
        <v>0</v>
      </c>
      <c r="O77" s="124" t="str">
        <f>+IFERROR(VLOOKUP(B77,'Hørkram Q4'!$A$6:$D$62,3,FALSE),"0")</f>
        <v>0</v>
      </c>
      <c r="P77" s="168"/>
      <c r="Q77" s="169"/>
      <c r="R77" s="150"/>
      <c r="S77" s="151"/>
      <c r="T77" s="181"/>
      <c r="U77" s="182"/>
      <c r="V77" s="28"/>
      <c r="W77" s="5"/>
      <c r="X77" s="5"/>
    </row>
    <row r="78" spans="1:24" ht="15.5" x14ac:dyDescent="0.35">
      <c r="A78" s="11" t="s">
        <v>9</v>
      </c>
      <c r="B78" s="35"/>
      <c r="C78" s="132">
        <v>1043650</v>
      </c>
      <c r="D78" s="132"/>
      <c r="E78" s="132"/>
      <c r="F78" s="132"/>
      <c r="G78" s="35" t="s">
        <v>167</v>
      </c>
      <c r="H78" s="35" t="s">
        <v>117</v>
      </c>
      <c r="I78" s="20">
        <f t="shared" si="13"/>
        <v>79.027069504069601</v>
      </c>
      <c r="J78" s="21">
        <f t="shared" si="15"/>
        <v>762.2879999999999</v>
      </c>
      <c r="K78" s="100">
        <f t="shared" si="14"/>
        <v>964.59099999999989</v>
      </c>
      <c r="L78" s="144">
        <f>+IFERROR(VLOOKUP(C78,'Nemlig Q4'!$A$2:$H$67,5,FALSE),0)</f>
        <v>683.18799999999999</v>
      </c>
      <c r="M78" s="144">
        <f>+IFERROR(VLOOKUP(C78,'Nemlig Q4'!$A$2:$H$67,8,FALSE),0)</f>
        <v>879.49099999999999</v>
      </c>
      <c r="N78" s="123" t="str">
        <f>+IFERROR(VLOOKUP(B78,'Hørkram Q4'!$A$6:$D$62,4,FALSE),"0")</f>
        <v>0</v>
      </c>
      <c r="O78" s="124" t="str">
        <f>+IFERROR(VLOOKUP(B78,'Hørkram Q4'!$A$6:$D$62,3,FALSE),"0")</f>
        <v>0</v>
      </c>
      <c r="P78" s="168"/>
      <c r="Q78" s="169"/>
      <c r="R78" s="155">
        <v>12.8</v>
      </c>
      <c r="S78" s="152">
        <v>15.18</v>
      </c>
      <c r="T78" s="181">
        <v>66.3</v>
      </c>
      <c r="U78" s="182">
        <v>69.92</v>
      </c>
      <c r="V78" s="28"/>
      <c r="W78" s="5"/>
      <c r="X78" s="5"/>
    </row>
    <row r="79" spans="1:24" ht="15.5" x14ac:dyDescent="0.35">
      <c r="A79" s="11" t="s">
        <v>88</v>
      </c>
      <c r="B79" s="35"/>
      <c r="C79" s="132"/>
      <c r="D79" s="132"/>
      <c r="E79" s="132"/>
      <c r="F79" s="132"/>
      <c r="G79" s="35"/>
      <c r="H79" s="35" t="s">
        <v>120</v>
      </c>
      <c r="I79" s="20" t="str">
        <f>IFERROR(((J79*100)/K79)," ")</f>
        <v xml:space="preserve"> </v>
      </c>
      <c r="J79" s="21">
        <f t="shared" si="15"/>
        <v>0</v>
      </c>
      <c r="K79" s="100">
        <f t="shared" si="14"/>
        <v>0</v>
      </c>
      <c r="L79" s="144">
        <f>+IFERROR(VLOOKUP(C79,'Nemlig Q4'!$A$2:$H$67,5,FALSE),0)</f>
        <v>0</v>
      </c>
      <c r="M79" s="144">
        <f>+IFERROR(VLOOKUP(C79,'Nemlig Q4'!$A$2:$H$67,8,FALSE),0)</f>
        <v>0</v>
      </c>
      <c r="N79" s="123" t="str">
        <f>+IFERROR(VLOOKUP(B79,'Hørkram Q4'!$A$6:$D$62,4,FALSE),"0")</f>
        <v>0</v>
      </c>
      <c r="O79" s="124" t="str">
        <f>+IFERROR(VLOOKUP(B79,'Hørkram Q4'!$A$6:$D$62,3,FALSE),"0")</f>
        <v>0</v>
      </c>
      <c r="P79" s="168"/>
      <c r="Q79" s="169"/>
      <c r="R79" s="153"/>
      <c r="S79" s="156"/>
      <c r="T79" s="21"/>
      <c r="U79" s="189"/>
      <c r="V79" s="29"/>
    </row>
    <row r="80" spans="1:24" ht="15.5" x14ac:dyDescent="0.35">
      <c r="A80" s="11" t="s">
        <v>11</v>
      </c>
      <c r="B80" s="35">
        <v>200138510</v>
      </c>
      <c r="C80" s="132"/>
      <c r="D80" s="132"/>
      <c r="E80" s="132"/>
      <c r="F80" s="132"/>
      <c r="G80" s="35" t="s">
        <v>167</v>
      </c>
      <c r="H80" s="35" t="s">
        <v>115</v>
      </c>
      <c r="I80" s="20">
        <f t="shared" si="13"/>
        <v>99.565781450150823</v>
      </c>
      <c r="J80" s="21">
        <f t="shared" si="15"/>
        <v>1216.43</v>
      </c>
      <c r="K80" s="100">
        <f t="shared" si="14"/>
        <v>1221.7349999999999</v>
      </c>
      <c r="L80" s="144">
        <f>+IFERROR(VLOOKUP(C80,'Nemlig Q4'!$A$2:$H$67,5,FALSE),0)</f>
        <v>0</v>
      </c>
      <c r="M80" s="144">
        <f>+IFERROR(VLOOKUP(C80,'Nemlig Q4'!$A$2:$H$67,8,FALSE),0)</f>
        <v>0</v>
      </c>
      <c r="N80" s="123">
        <f>+IFERROR(VLOOKUP(B80,'Hørkram Q4'!$A$6:$D$62,4,FALSE),"0")</f>
        <v>1204.43</v>
      </c>
      <c r="O80" s="124">
        <f>+IFERROR(VLOOKUP(B80,'Hørkram Q4'!$A$6:$D$62,3,FALSE),"0")</f>
        <v>1209.7349999999999</v>
      </c>
      <c r="P80" s="170"/>
      <c r="Q80" s="171"/>
      <c r="R80" s="150">
        <v>12</v>
      </c>
      <c r="S80" s="152">
        <v>12</v>
      </c>
      <c r="T80" s="181"/>
      <c r="U80" s="182"/>
      <c r="V80" s="28"/>
      <c r="W80" s="5"/>
      <c r="X80" s="5"/>
    </row>
    <row r="81" spans="1:38" ht="15.5" x14ac:dyDescent="0.35">
      <c r="A81" s="11" t="s">
        <v>95</v>
      </c>
      <c r="B81" s="35">
        <v>200041414</v>
      </c>
      <c r="C81" s="132"/>
      <c r="D81" s="132"/>
      <c r="E81" s="132"/>
      <c r="F81" s="132"/>
      <c r="G81" s="35" t="s">
        <v>167</v>
      </c>
      <c r="H81" s="35" t="s">
        <v>115</v>
      </c>
      <c r="I81" s="20">
        <f t="shared" si="13"/>
        <v>89.181762902309117</v>
      </c>
      <c r="J81" s="21">
        <f t="shared" si="15"/>
        <v>1526.7570000000001</v>
      </c>
      <c r="K81" s="100">
        <f t="shared" si="14"/>
        <v>1711.961</v>
      </c>
      <c r="L81" s="144">
        <f>+IFERROR(VLOOKUP(C81,'Nemlig Q4'!$A$2:$H$67,5,FALSE),0)</f>
        <v>0</v>
      </c>
      <c r="M81" s="144">
        <f>+IFERROR(VLOOKUP(C81,'Nemlig Q4'!$A$2:$H$67,8,FALSE),0)</f>
        <v>0</v>
      </c>
      <c r="N81" s="123">
        <f>+IFERROR(VLOOKUP(B81,'Hørkram Q4'!$A$6:$D$62,4,FALSE),"0")</f>
        <v>1526.7570000000001</v>
      </c>
      <c r="O81" s="124">
        <f>+IFERROR(VLOOKUP(B81,'Hørkram Q4'!$A$6:$D$62,3,FALSE),"0")</f>
        <v>1691.6010000000001</v>
      </c>
      <c r="P81" s="170"/>
      <c r="Q81" s="171"/>
      <c r="R81" s="155"/>
      <c r="S81" s="157">
        <v>20.36</v>
      </c>
      <c r="T81" s="181"/>
      <c r="U81" s="182"/>
      <c r="V81" s="28"/>
      <c r="W81" s="5"/>
      <c r="X81" s="5"/>
    </row>
    <row r="82" spans="1:38" ht="15.5" x14ac:dyDescent="0.35">
      <c r="A82" s="11" t="s">
        <v>10</v>
      </c>
      <c r="B82" s="35"/>
      <c r="C82" s="132">
        <v>2174467</v>
      </c>
      <c r="D82" s="132">
        <v>2172346</v>
      </c>
      <c r="E82" s="132">
        <v>2165538</v>
      </c>
      <c r="F82" s="132"/>
      <c r="G82" s="35" t="s">
        <v>167</v>
      </c>
      <c r="H82" s="35" t="s">
        <v>120</v>
      </c>
      <c r="I82" s="20">
        <f t="shared" si="13"/>
        <v>30.729277615684172</v>
      </c>
      <c r="J82" s="21">
        <f t="shared" si="15"/>
        <v>256.77199999999999</v>
      </c>
      <c r="K82" s="100">
        <f t="shared" si="14"/>
        <v>835.59400000000005</v>
      </c>
      <c r="L82" s="144">
        <f>+IFERROR(VLOOKUP(C82,'Nemlig Q4'!$A$2:$H$67,5,FALSE),0)</f>
        <v>236.77199999999999</v>
      </c>
      <c r="M82" s="144">
        <f>+IFERROR(VLOOKUP(C82,'Nemlig Q4'!$A$2:$H$67,8,FALSE),0)</f>
        <v>795.59400000000005</v>
      </c>
      <c r="N82" s="123" t="str">
        <f>+IFERROR(VLOOKUP(B82,'Hørkram Q4'!$A$6:$D$62,4,FALSE),"0")</f>
        <v>0</v>
      </c>
      <c r="O82" s="124" t="str">
        <f>+IFERROR(VLOOKUP(B82,'Hørkram Q4'!$A$6:$D$62,3,FALSE),"0")</f>
        <v>0</v>
      </c>
      <c r="P82" s="170"/>
      <c r="Q82" s="171"/>
      <c r="R82" s="155">
        <v>20</v>
      </c>
      <c r="S82" s="152">
        <v>40</v>
      </c>
      <c r="T82" s="181"/>
      <c r="U82" s="182"/>
      <c r="V82" s="28"/>
      <c r="W82" s="5"/>
      <c r="X82" s="5"/>
    </row>
    <row r="83" spans="1:38" ht="15.5" x14ac:dyDescent="0.35">
      <c r="A83" s="11" t="s">
        <v>17</v>
      </c>
      <c r="B83" s="35">
        <v>200137940</v>
      </c>
      <c r="C83" s="132"/>
      <c r="D83" s="132"/>
      <c r="E83" s="132"/>
      <c r="F83" s="132"/>
      <c r="G83" s="35" t="s">
        <v>167</v>
      </c>
      <c r="H83" s="35" t="s">
        <v>115</v>
      </c>
      <c r="I83" s="20">
        <f t="shared" si="13"/>
        <v>94.167403276431202</v>
      </c>
      <c r="J83" s="21">
        <f t="shared" si="15"/>
        <v>1392.3789999999999</v>
      </c>
      <c r="K83" s="100">
        <f t="shared" si="14"/>
        <v>1478.6210000000001</v>
      </c>
      <c r="L83" s="144">
        <f>+IFERROR(VLOOKUP(C83,'Nemlig Q4'!$A$2:$H$67,5,FALSE),0)</f>
        <v>0</v>
      </c>
      <c r="M83" s="144">
        <f>+IFERROR(VLOOKUP(C83,'Nemlig Q4'!$A$2:$H$67,8,FALSE),0)</f>
        <v>0</v>
      </c>
      <c r="N83" s="123">
        <f>+IFERROR(VLOOKUP(B83,'Hørkram Q4'!$A$6:$D$62,4,FALSE),"0")</f>
        <v>1392.3789999999999</v>
      </c>
      <c r="O83" s="124">
        <f>+IFERROR(VLOOKUP(B83,'Hørkram Q4'!$A$6:$D$62,3,FALSE),"0")</f>
        <v>1478.6210000000001</v>
      </c>
      <c r="P83" s="170"/>
      <c r="Q83" s="171"/>
      <c r="R83" s="155"/>
      <c r="S83" s="157"/>
      <c r="T83" s="181"/>
      <c r="U83" s="182"/>
      <c r="V83" s="29"/>
    </row>
    <row r="84" spans="1:38" x14ac:dyDescent="0.35">
      <c r="A84" s="11" t="s">
        <v>67</v>
      </c>
      <c r="B84" s="35"/>
      <c r="C84" s="132"/>
      <c r="D84" s="132"/>
      <c r="E84" s="132"/>
      <c r="F84" s="132"/>
      <c r="G84" s="35" t="s">
        <v>168</v>
      </c>
      <c r="H84" s="35" t="s">
        <v>120</v>
      </c>
      <c r="I84" s="20" t="str">
        <f>IFERROR(((J84*100)/K84)," ")</f>
        <v xml:space="preserve"> </v>
      </c>
      <c r="J84" s="21">
        <f t="shared" si="15"/>
        <v>0</v>
      </c>
      <c r="K84" s="100">
        <f t="shared" si="14"/>
        <v>0</v>
      </c>
      <c r="L84" s="144">
        <f>+IFERROR(VLOOKUP(C84,'Nemlig Q4'!$A$2:$H$67,5,FALSE),0)</f>
        <v>0</v>
      </c>
      <c r="M84" s="144">
        <f>+IFERROR(VLOOKUP(C84,'Nemlig Q4'!$A$2:$H$67,8,FALSE),0)</f>
        <v>0</v>
      </c>
      <c r="N84" s="123" t="str">
        <f>+IFERROR(VLOOKUP(B84,'Hørkram Q4'!$A$6:$D$62,4,FALSE),"0")</f>
        <v>0</v>
      </c>
      <c r="O84" s="124" t="str">
        <f>+IFERROR(VLOOKUP(B84,'Hørkram Q4'!$A$6:$D$62,3,FALSE),"0")</f>
        <v>0</v>
      </c>
      <c r="P84" s="170"/>
      <c r="Q84" s="171"/>
      <c r="R84" s="153"/>
      <c r="S84" s="156"/>
      <c r="T84" s="190"/>
      <c r="U84" s="182"/>
      <c r="V84" s="29"/>
    </row>
    <row r="85" spans="1:38" ht="15.5" x14ac:dyDescent="0.35">
      <c r="A85" s="11" t="s">
        <v>72</v>
      </c>
      <c r="B85" s="35"/>
      <c r="C85" s="132">
        <v>1611791</v>
      </c>
      <c r="D85" s="132"/>
      <c r="E85" s="132"/>
      <c r="F85" s="132"/>
      <c r="G85" s="35" t="s">
        <v>168</v>
      </c>
      <c r="H85" s="35" t="s">
        <v>115</v>
      </c>
      <c r="I85" s="20">
        <f>IFERROR(((J85*100)/K85)," ")</f>
        <v>0</v>
      </c>
      <c r="J85" s="21">
        <f t="shared" si="15"/>
        <v>0</v>
      </c>
      <c r="K85" s="100">
        <f t="shared" si="14"/>
        <v>58.393000000000001</v>
      </c>
      <c r="L85" s="144">
        <f>+IFERROR(VLOOKUP(C85,'Nemlig Q4'!$A$2:$H$67,5,FALSE),0)</f>
        <v>0</v>
      </c>
      <c r="M85" s="144">
        <f>+IFERROR(VLOOKUP(C85,'Nemlig Q4'!$A$2:$H$67,8,FALSE),0)</f>
        <v>52.393000000000001</v>
      </c>
      <c r="N85" s="123" t="str">
        <f>+IFERROR(VLOOKUP(B85,'Hørkram Q4'!$A$6:$D$62,4,FALSE),"0")</f>
        <v>0</v>
      </c>
      <c r="O85" s="124" t="str">
        <f>+IFERROR(VLOOKUP(B85,'Hørkram Q4'!$A$6:$D$62,3,FALSE),"0")</f>
        <v>0</v>
      </c>
      <c r="P85" s="170"/>
      <c r="Q85" s="171"/>
      <c r="R85" s="155">
        <v>0</v>
      </c>
      <c r="S85" s="152">
        <v>6</v>
      </c>
      <c r="T85" s="181"/>
      <c r="U85" s="182"/>
      <c r="V85" s="32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</row>
    <row r="86" spans="1:38" ht="15.5" x14ac:dyDescent="0.35">
      <c r="A86" s="11" t="s">
        <v>37</v>
      </c>
      <c r="B86" s="35" t="s">
        <v>105</v>
      </c>
      <c r="C86" s="132"/>
      <c r="D86" s="132"/>
      <c r="E86" s="132"/>
      <c r="F86" s="132"/>
      <c r="G86" s="35" t="s">
        <v>167</v>
      </c>
      <c r="H86" s="35" t="s">
        <v>121</v>
      </c>
      <c r="I86" s="20">
        <f t="shared" si="13"/>
        <v>80.24765884789494</v>
      </c>
      <c r="J86" s="21">
        <f t="shared" si="15"/>
        <v>9136.5329999999994</v>
      </c>
      <c r="K86" s="100">
        <f>+M86+O86+Q86+S86+U86</f>
        <v>11385.42</v>
      </c>
      <c r="L86" s="144">
        <f>+IFERROR(VLOOKUP(C86,'Nemlig Q4'!$A$2:$H$67,5,FALSE),0)</f>
        <v>0</v>
      </c>
      <c r="M86" s="144">
        <f>+IFERROR(VLOOKUP(C86,'Nemlig Q4'!$A$2:$H$67,8,FALSE),0)</f>
        <v>0</v>
      </c>
      <c r="N86" s="21">
        <f>+'Hørkram Q4'!D51+'Hørkram Q4'!D29</f>
        <v>8837.5329999999994</v>
      </c>
      <c r="O86" s="100">
        <f>+'Hørkram Q4'!C51+'Hørkram Q4'!C29</f>
        <v>10711.412</v>
      </c>
      <c r="P86" s="168">
        <v>10</v>
      </c>
      <c r="Q86" s="176">
        <f>206.008+20+4+10+12</f>
        <v>252.00800000000001</v>
      </c>
      <c r="R86" s="155">
        <v>289</v>
      </c>
      <c r="S86" s="152">
        <f>289+133</f>
        <v>422</v>
      </c>
      <c r="T86" s="181"/>
      <c r="U86" s="182"/>
    </row>
    <row r="87" spans="1:38" ht="15.5" x14ac:dyDescent="0.35">
      <c r="A87" s="11" t="s">
        <v>109</v>
      </c>
      <c r="B87" s="35">
        <v>200031637</v>
      </c>
      <c r="C87" s="132"/>
      <c r="D87" s="132"/>
      <c r="E87" s="132"/>
      <c r="F87" s="132"/>
      <c r="G87" s="35" t="s">
        <v>168</v>
      </c>
      <c r="H87" s="35" t="s">
        <v>122</v>
      </c>
      <c r="I87" s="20">
        <f t="shared" si="13"/>
        <v>9.3991927930382655</v>
      </c>
      <c r="J87" s="21">
        <f t="shared" si="15"/>
        <v>55.192999999999998</v>
      </c>
      <c r="K87" s="100">
        <f t="shared" si="14"/>
        <v>587.21</v>
      </c>
      <c r="L87" s="144">
        <f>+IFERROR(VLOOKUP(C87,'Nemlig Q4'!$A$2:$H$67,5,FALSE),0)</f>
        <v>0</v>
      </c>
      <c r="M87" s="144">
        <f>+IFERROR(VLOOKUP(C87,'Nemlig Q4'!$A$2:$H$67,8,FALSE),0)</f>
        <v>0</v>
      </c>
      <c r="N87" s="123">
        <f>+IFERROR(VLOOKUP(B87,'Hørkram Q4'!$A$6:$D$62,4,FALSE),"0")</f>
        <v>55.192999999999998</v>
      </c>
      <c r="O87" s="124">
        <f>+IFERROR(VLOOKUP(B87,'Hørkram Q4'!$A$6:$D$62,3,FALSE),"0")</f>
        <v>568.33000000000004</v>
      </c>
      <c r="P87" s="172"/>
      <c r="Q87" s="169"/>
      <c r="R87" s="155"/>
      <c r="S87" s="152">
        <v>18.88</v>
      </c>
      <c r="T87" s="181"/>
      <c r="U87" s="182"/>
      <c r="V87" s="102"/>
      <c r="W87" s="116"/>
      <c r="X87" s="116"/>
    </row>
    <row r="88" spans="1:38" ht="15.5" x14ac:dyDescent="0.35">
      <c r="A88" s="11" t="s">
        <v>80</v>
      </c>
      <c r="B88" s="35"/>
      <c r="C88" s="132">
        <v>1383843</v>
      </c>
      <c r="D88" s="132"/>
      <c r="E88" s="132"/>
      <c r="F88" s="132"/>
      <c r="G88" s="35" t="s">
        <v>168</v>
      </c>
      <c r="H88" s="35" t="s">
        <v>117</v>
      </c>
      <c r="I88" s="20">
        <f>IFERROR(((J88*100)/K88)," ")</f>
        <v>56.036532328211081</v>
      </c>
      <c r="J88" s="21">
        <f t="shared" si="15"/>
        <v>19.327000000000002</v>
      </c>
      <c r="K88" s="100">
        <f t="shared" si="14"/>
        <v>34.49</v>
      </c>
      <c r="L88" s="144">
        <f>+IFERROR(VLOOKUP(C88,'Nemlig Q4'!$A$2:$H$67,5,FALSE),0)</f>
        <v>19.327000000000002</v>
      </c>
      <c r="M88" s="144">
        <f>+IFERROR(VLOOKUP(C88,'Nemlig Q4'!$A$2:$H$67,8,FALSE),0)</f>
        <v>34.49</v>
      </c>
      <c r="N88" s="123" t="str">
        <f>+IFERROR(VLOOKUP(B88,'Hørkram Q4'!$A$6:$D$62,4,FALSE),"0")</f>
        <v>0</v>
      </c>
      <c r="O88" s="124" t="str">
        <f>+IFERROR(VLOOKUP(B88,'Hørkram Q4'!$A$6:$D$62,3,FALSE),"0")</f>
        <v>0</v>
      </c>
      <c r="P88" s="168"/>
      <c r="Q88" s="169"/>
      <c r="R88" s="153"/>
      <c r="S88" s="154"/>
      <c r="T88" s="191"/>
      <c r="U88" s="182"/>
      <c r="V88" s="102"/>
      <c r="W88" s="116"/>
      <c r="X88" s="116"/>
    </row>
    <row r="89" spans="1:38" ht="15.5" x14ac:dyDescent="0.35">
      <c r="A89" s="11" t="s">
        <v>16</v>
      </c>
      <c r="B89" s="35">
        <v>200536200</v>
      </c>
      <c r="C89" s="132"/>
      <c r="D89" s="132"/>
      <c r="E89" s="132"/>
      <c r="F89" s="132"/>
      <c r="G89" s="35" t="s">
        <v>167</v>
      </c>
      <c r="H89" s="35" t="s">
        <v>120</v>
      </c>
      <c r="I89" s="20">
        <f t="shared" si="13"/>
        <v>56.720573870573872</v>
      </c>
      <c r="J89" s="21">
        <f t="shared" si="15"/>
        <v>929.08299999999997</v>
      </c>
      <c r="K89" s="100">
        <f t="shared" si="14"/>
        <v>1638</v>
      </c>
      <c r="L89" s="144">
        <f>+IFERROR(VLOOKUP(C89,'Nemlig Q4'!$A$2:$H$67,5,FALSE),0)</f>
        <v>0</v>
      </c>
      <c r="M89" s="144">
        <f>+IFERROR(VLOOKUP(C89,'Nemlig Q4'!$A$2:$H$67,8,FALSE),0)</f>
        <v>0</v>
      </c>
      <c r="N89" s="123">
        <f>+IFERROR(VLOOKUP(B89,'Hørkram Q4'!$A$6:$D$62,4,FALSE),"0")</f>
        <v>929.08299999999997</v>
      </c>
      <c r="O89" s="124">
        <f>+IFERROR(VLOOKUP(B89,'Hørkram Q4'!$A$6:$D$62,3,FALSE),"0")</f>
        <v>1638</v>
      </c>
      <c r="P89" s="173"/>
      <c r="Q89" s="174"/>
      <c r="R89" s="155"/>
      <c r="S89" s="152"/>
      <c r="T89" s="181"/>
      <c r="U89" s="182"/>
      <c r="V89" s="102"/>
      <c r="W89" s="116"/>
      <c r="X89" s="116"/>
    </row>
    <row r="90" spans="1:38" ht="15.5" x14ac:dyDescent="0.35">
      <c r="A90" s="11" t="s">
        <v>64</v>
      </c>
      <c r="B90" s="35"/>
      <c r="C90" s="132">
        <v>1365582</v>
      </c>
      <c r="D90" s="132"/>
      <c r="E90" s="132"/>
      <c r="F90" s="132"/>
      <c r="G90" s="35" t="s">
        <v>168</v>
      </c>
      <c r="H90" s="35" t="s">
        <v>116</v>
      </c>
      <c r="I90" s="20" t="str">
        <f>IFERROR(((J90*100)/K90)," ")</f>
        <v xml:space="preserve"> </v>
      </c>
      <c r="J90" s="21">
        <f t="shared" si="15"/>
        <v>0</v>
      </c>
      <c r="K90" s="100">
        <f t="shared" si="14"/>
        <v>0</v>
      </c>
      <c r="L90" s="144">
        <f>+IFERROR(VLOOKUP(C90,'Nemlig Q4'!$A$2:$H$67,5,FALSE),0)</f>
        <v>0</v>
      </c>
      <c r="M90" s="144">
        <f>+IFERROR(VLOOKUP(C90,'Nemlig Q4'!$A$2:$H$67,8,FALSE),0)</f>
        <v>0</v>
      </c>
      <c r="N90" s="123" t="str">
        <f>+IFERROR(VLOOKUP(B90,'Hørkram Q4'!$A$6:$D$62,4,FALSE),"0")</f>
        <v>0</v>
      </c>
      <c r="O90" s="124" t="str">
        <f>+IFERROR(VLOOKUP(B90,'Hørkram Q4'!$A$6:$D$62,3,FALSE),"0")</f>
        <v>0</v>
      </c>
      <c r="P90" s="172"/>
      <c r="Q90" s="175"/>
      <c r="R90" s="153"/>
      <c r="S90" s="156"/>
      <c r="T90" s="181"/>
      <c r="U90" s="182"/>
      <c r="V90" s="102"/>
      <c r="W90" s="116"/>
      <c r="X90" s="116"/>
    </row>
    <row r="91" spans="1:38" ht="15.5" x14ac:dyDescent="0.35">
      <c r="A91" s="11" t="s">
        <v>214</v>
      </c>
      <c r="B91" s="35">
        <v>200021706</v>
      </c>
      <c r="C91" s="132"/>
      <c r="D91" s="132"/>
      <c r="E91" s="132"/>
      <c r="F91" s="132"/>
      <c r="G91" s="35" t="s">
        <v>167</v>
      </c>
      <c r="H91" s="35" t="s">
        <v>115</v>
      </c>
      <c r="I91" s="20">
        <f t="shared" si="13"/>
        <v>91.534960331768247</v>
      </c>
      <c r="J91" s="21">
        <f t="shared" si="15"/>
        <v>1375.97</v>
      </c>
      <c r="K91" s="100">
        <f t="shared" si="14"/>
        <v>1503.2180000000001</v>
      </c>
      <c r="L91" s="144">
        <f>+IFERROR(VLOOKUP(C91,'Nemlig Q4'!$A$2:$H$67,5,FALSE),0)</f>
        <v>0</v>
      </c>
      <c r="M91" s="144">
        <f>+IFERROR(VLOOKUP(C91,'Nemlig Q4'!$A$2:$H$67,8,FALSE),0)</f>
        <v>0</v>
      </c>
      <c r="N91" s="123">
        <f>+IFERROR(VLOOKUP(B91,'Hørkram Q4'!$A$6:$D$62,4,FALSE),"0")</f>
        <v>1375.97</v>
      </c>
      <c r="O91" s="124">
        <f>+IFERROR(VLOOKUP(B91,'Hørkram Q4'!$A$6:$D$62,3,FALSE),"0")</f>
        <v>1503.2180000000001</v>
      </c>
      <c r="P91" s="168"/>
      <c r="Q91" s="169"/>
      <c r="R91" s="155"/>
      <c r="S91" s="152"/>
      <c r="T91" s="181"/>
      <c r="U91" s="182"/>
      <c r="V91" s="102"/>
      <c r="W91" s="116"/>
      <c r="X91" s="116"/>
    </row>
    <row r="92" spans="1:38" ht="15.5" x14ac:dyDescent="0.35">
      <c r="A92" s="11" t="s">
        <v>27</v>
      </c>
      <c r="B92" s="35"/>
      <c r="C92" s="132">
        <v>2164335</v>
      </c>
      <c r="D92" s="132">
        <v>2223363</v>
      </c>
      <c r="E92" s="132"/>
      <c r="F92" s="132"/>
      <c r="G92" s="35"/>
      <c r="H92" s="35" t="s">
        <v>116</v>
      </c>
      <c r="I92" s="20">
        <f t="shared" si="13"/>
        <v>0.43609649938828088</v>
      </c>
      <c r="J92" s="21">
        <f t="shared" si="15"/>
        <v>1.5469999999999999</v>
      </c>
      <c r="K92" s="100">
        <f t="shared" si="14"/>
        <v>354.738</v>
      </c>
      <c r="L92" s="144">
        <f>+IFERROR(VLOOKUP(C92,'Nemlig Q4'!$A$2:$H$67,5,FALSE),0)</f>
        <v>1.5469999999999999</v>
      </c>
      <c r="M92" s="144">
        <f>+IFERROR(VLOOKUP(C92,'Nemlig Q4'!$A$2:$H$67,8,FALSE),0)</f>
        <v>354.738</v>
      </c>
      <c r="N92" s="123" t="str">
        <f>+IFERROR(VLOOKUP(B92,'Hørkram Q4'!$A$6:$D$62,4,FALSE),"0")</f>
        <v>0</v>
      </c>
      <c r="O92" s="124" t="str">
        <f>+IFERROR(VLOOKUP(B92,'Hørkram Q4'!$A$6:$D$62,3,FALSE),"0")</f>
        <v>0</v>
      </c>
      <c r="P92" s="168"/>
      <c r="Q92" s="169"/>
      <c r="R92" s="153"/>
      <c r="S92" s="154"/>
      <c r="T92" s="181"/>
      <c r="U92" s="182"/>
      <c r="V92" s="102"/>
      <c r="W92" s="116"/>
      <c r="X92" s="116"/>
    </row>
    <row r="93" spans="1:38" x14ac:dyDescent="0.25">
      <c r="A93" s="11" t="s">
        <v>279</v>
      </c>
      <c r="B93" s="35">
        <v>200166322</v>
      </c>
      <c r="C93" s="132">
        <v>2161308</v>
      </c>
      <c r="D93" s="132"/>
      <c r="E93" s="132"/>
      <c r="F93" s="132"/>
      <c r="G93" s="35" t="s">
        <v>168</v>
      </c>
      <c r="H93" s="35" t="s">
        <v>119</v>
      </c>
      <c r="I93" s="20">
        <f t="shared" si="13"/>
        <v>12.236328244555171</v>
      </c>
      <c r="J93" s="21">
        <f t="shared" si="15"/>
        <v>59.97</v>
      </c>
      <c r="K93" s="100">
        <f t="shared" si="14"/>
        <v>490.09800000000001</v>
      </c>
      <c r="L93" s="144">
        <f>+IFERROR(VLOOKUP(C93,'Nemlig Q4'!$A$2:$H$67,5,FALSE),0)</f>
        <v>59.97</v>
      </c>
      <c r="M93" s="144">
        <f>+IFERROR(VLOOKUP(C93,'Nemlig Q4'!$A$2:$H$67,8,FALSE),0)</f>
        <v>425.49799999999999</v>
      </c>
      <c r="N93" s="123">
        <f>+IFERROR(VLOOKUP(B93,'Hørkram Q4'!$A$6:$D$62,4,FALSE),"0")</f>
        <v>0</v>
      </c>
      <c r="O93" s="124">
        <f>+IFERROR(VLOOKUP(B93,'Hørkram Q4'!$A$6:$D$62,3,FALSE),"0")</f>
        <v>14.6</v>
      </c>
      <c r="P93" s="170"/>
      <c r="Q93" s="171"/>
      <c r="R93" s="153"/>
      <c r="S93" s="154">
        <f>40+10</f>
        <v>50</v>
      </c>
      <c r="T93" s="181"/>
      <c r="U93" s="182"/>
      <c r="V93" s="102"/>
      <c r="W93" s="116"/>
      <c r="X93" s="116"/>
    </row>
    <row r="94" spans="1:38" ht="15.5" x14ac:dyDescent="0.35">
      <c r="A94" s="11" t="s">
        <v>71</v>
      </c>
      <c r="B94" s="35"/>
      <c r="C94" s="132">
        <v>2214784</v>
      </c>
      <c r="D94" s="132"/>
      <c r="E94" s="132"/>
      <c r="F94" s="132"/>
      <c r="G94" s="35" t="s">
        <v>168</v>
      </c>
      <c r="H94" s="35" t="s">
        <v>122</v>
      </c>
      <c r="I94" s="20">
        <f t="shared" si="13"/>
        <v>19.737448283573748</v>
      </c>
      <c r="J94" s="21">
        <f t="shared" si="15"/>
        <v>44.128</v>
      </c>
      <c r="K94" s="100">
        <f t="shared" si="14"/>
        <v>223.57499999999999</v>
      </c>
      <c r="L94" s="144">
        <f>+IFERROR(VLOOKUP(C94,'Nemlig Q4'!$A$2:$H$67,5,FALSE),0)</f>
        <v>44.128</v>
      </c>
      <c r="M94" s="144">
        <f>+IFERROR(VLOOKUP(C94,'Nemlig Q4'!$A$2:$H$67,8,FALSE),0)</f>
        <v>223.57499999999999</v>
      </c>
      <c r="N94" s="123" t="str">
        <f>+IFERROR(VLOOKUP(B94,'Hørkram Q4'!$A$6:$D$62,4,FALSE),"0")</f>
        <v>0</v>
      </c>
      <c r="O94" s="124" t="str">
        <f>+IFERROR(VLOOKUP(B94,'Hørkram Q4'!$A$6:$D$62,3,FALSE),"0")</f>
        <v>0</v>
      </c>
      <c r="P94" s="168"/>
      <c r="Q94" s="169"/>
      <c r="R94" s="153"/>
      <c r="S94" s="154"/>
      <c r="T94" s="181"/>
      <c r="U94" s="182"/>
      <c r="V94" s="102"/>
      <c r="W94" s="116"/>
      <c r="X94" s="116"/>
    </row>
    <row r="95" spans="1:38" ht="15.5" x14ac:dyDescent="0.35">
      <c r="A95" s="11" t="s">
        <v>45</v>
      </c>
      <c r="B95" s="35"/>
      <c r="C95" s="132">
        <v>1613144</v>
      </c>
      <c r="D95" s="132"/>
      <c r="E95" s="132"/>
      <c r="F95" s="132"/>
      <c r="G95" s="35" t="s">
        <v>168</v>
      </c>
      <c r="H95" s="35" t="s">
        <v>122</v>
      </c>
      <c r="I95" s="20">
        <f>IFERROR(((J95*100)/K95)," ")</f>
        <v>38.308646065022955</v>
      </c>
      <c r="J95" s="21">
        <f t="shared" si="15"/>
        <v>8.0950000000000006</v>
      </c>
      <c r="K95" s="100">
        <f t="shared" si="14"/>
        <v>21.131</v>
      </c>
      <c r="L95" s="144">
        <f>+IFERROR(VLOOKUP(C95,'Nemlig Q4'!$A$2:$H$67,5,FALSE),0)</f>
        <v>8.0950000000000006</v>
      </c>
      <c r="M95" s="144">
        <f>+IFERROR(VLOOKUP(C95,'Nemlig Q4'!$A$2:$H$67,8,FALSE),0)</f>
        <v>21.131</v>
      </c>
      <c r="N95" s="123" t="str">
        <f>+IFERROR(VLOOKUP(B95,'Hørkram Q4'!$A$6:$D$62,4,FALSE),"0")</f>
        <v>0</v>
      </c>
      <c r="O95" s="124" t="str">
        <f>+IFERROR(VLOOKUP(B95,'Hørkram Q4'!$A$6:$D$62,3,FALSE),"0")</f>
        <v>0</v>
      </c>
      <c r="P95" s="170"/>
      <c r="Q95" s="171"/>
      <c r="R95" s="155"/>
      <c r="S95" s="157"/>
      <c r="T95" s="181"/>
      <c r="U95" s="182"/>
      <c r="V95" s="102"/>
      <c r="W95" s="116"/>
      <c r="X95" s="116"/>
    </row>
    <row r="96" spans="1:38" ht="15.5" x14ac:dyDescent="0.35">
      <c r="A96" s="11" t="s">
        <v>219</v>
      </c>
      <c r="B96" s="35">
        <v>200012124</v>
      </c>
      <c r="C96" s="132">
        <v>1232086</v>
      </c>
      <c r="D96" s="132"/>
      <c r="E96" s="132"/>
      <c r="F96" s="132"/>
      <c r="G96" s="35" t="s">
        <v>167</v>
      </c>
      <c r="H96" s="35" t="s">
        <v>115</v>
      </c>
      <c r="I96" s="20">
        <f t="shared" si="13"/>
        <v>94.553228541717829</v>
      </c>
      <c r="J96" s="21">
        <f t="shared" si="15"/>
        <v>2571.4279999999999</v>
      </c>
      <c r="K96" s="100">
        <f t="shared" si="14"/>
        <v>2719.556</v>
      </c>
      <c r="L96" s="144">
        <f>+IFERROR(VLOOKUP(C96,'Nemlig Q4'!$A$2:$H$67,5,FALSE),0)</f>
        <v>0.16</v>
      </c>
      <c r="M96" s="144">
        <f>+IFERROR(VLOOKUP(C96,'Nemlig Q4'!$A$2:$H$67,8,FALSE),0)</f>
        <v>3.6760000000000002</v>
      </c>
      <c r="N96" s="123">
        <f>+IFERROR(VLOOKUP(B96,'Hørkram Q4'!$A$6:$D$62,4,FALSE),"0")</f>
        <v>2565.8679999999999</v>
      </c>
      <c r="O96" s="124">
        <f>+IFERROR(VLOOKUP(B96,'Hørkram Q4'!$A$6:$D$62,3,FALSE),"0")</f>
        <v>2710.12</v>
      </c>
      <c r="P96" s="172"/>
      <c r="Q96" s="169"/>
      <c r="R96" s="155">
        <v>5.4</v>
      </c>
      <c r="S96" s="152">
        <v>5.76</v>
      </c>
      <c r="T96" s="181"/>
      <c r="U96" s="182"/>
      <c r="V96" s="102"/>
      <c r="W96" s="116"/>
      <c r="X96" s="116"/>
    </row>
    <row r="97" spans="1:38" ht="15.5" x14ac:dyDescent="0.35">
      <c r="A97" s="11" t="s">
        <v>174</v>
      </c>
      <c r="B97" s="35"/>
      <c r="C97" s="132">
        <v>1136302</v>
      </c>
      <c r="D97" s="132"/>
      <c r="E97" s="132"/>
      <c r="F97" s="132"/>
      <c r="G97" s="35"/>
      <c r="H97" s="35" t="s">
        <v>116</v>
      </c>
      <c r="I97" s="20">
        <f t="shared" si="13"/>
        <v>29.812468721617762</v>
      </c>
      <c r="J97" s="21">
        <f t="shared" si="15"/>
        <v>128.673</v>
      </c>
      <c r="K97" s="100">
        <f t="shared" si="14"/>
        <v>431.608</v>
      </c>
      <c r="L97" s="144">
        <f>+IFERROR(VLOOKUP(C97,'Nemlig Q4'!$A$2:$H$67,5,FALSE),0)</f>
        <v>128.673</v>
      </c>
      <c r="M97" s="144">
        <f>+IFERROR(VLOOKUP(C97,'Nemlig Q4'!$A$2:$H$67,8,FALSE),0)</f>
        <v>431.608</v>
      </c>
      <c r="N97" s="123" t="str">
        <f>+IFERROR(VLOOKUP(B97,'Hørkram Q4'!$A$6:$D$62,4,FALSE),"0")</f>
        <v>0</v>
      </c>
      <c r="O97" s="124" t="str">
        <f>+IFERROR(VLOOKUP(B97,'Hørkram Q4'!$A$6:$D$62,3,FALSE),"0")</f>
        <v>0</v>
      </c>
      <c r="P97" s="168"/>
      <c r="Q97" s="169"/>
      <c r="R97" s="153"/>
      <c r="S97" s="154"/>
      <c r="T97" s="181"/>
      <c r="U97" s="182"/>
      <c r="V97" s="102"/>
      <c r="W97" s="116"/>
      <c r="X97" s="116"/>
    </row>
    <row r="98" spans="1:38" ht="15.5" x14ac:dyDescent="0.35">
      <c r="A98" s="11" t="s">
        <v>253</v>
      </c>
      <c r="B98" s="35">
        <v>200031620</v>
      </c>
      <c r="C98" s="132">
        <v>2361189</v>
      </c>
      <c r="D98" s="132"/>
      <c r="E98" s="132"/>
      <c r="F98" s="132"/>
      <c r="G98" s="35" t="s">
        <v>167</v>
      </c>
      <c r="H98" s="35" t="s">
        <v>118</v>
      </c>
      <c r="I98" s="20">
        <f t="shared" si="13"/>
        <v>81.662001167755051</v>
      </c>
      <c r="J98" s="21">
        <f t="shared" si="15"/>
        <v>788.81899999999996</v>
      </c>
      <c r="K98" s="100">
        <f t="shared" si="14"/>
        <v>965.95600000000002</v>
      </c>
      <c r="L98" s="144">
        <f>+IFERROR(VLOOKUP(C98,'Nemlig Q4'!$A$2:$H$67,5,FALSE),0)</f>
        <v>12.433999999999999</v>
      </c>
      <c r="M98" s="144">
        <f>+IFERROR(VLOOKUP(C98,'Nemlig Q4'!$A$2:$H$67,8,FALSE),0)</f>
        <v>62.234000000000002</v>
      </c>
      <c r="N98" s="123">
        <f>+IFERROR(VLOOKUP(B98,'Hørkram Q4'!$A$6:$D$62,4,FALSE),"0")</f>
        <v>776.38499999999999</v>
      </c>
      <c r="O98" s="124">
        <f>+IFERROR(VLOOKUP(B98,'Hørkram Q4'!$A$6:$D$62,3,FALSE),"0")</f>
        <v>903.72199999999998</v>
      </c>
      <c r="P98" s="168"/>
      <c r="Q98" s="169"/>
      <c r="R98" s="153"/>
      <c r="S98" s="154"/>
      <c r="T98" s="21"/>
      <c r="U98" s="154"/>
      <c r="V98" s="102"/>
      <c r="W98" s="116"/>
      <c r="X98" s="116"/>
    </row>
    <row r="99" spans="1:38" ht="15.5" x14ac:dyDescent="0.35">
      <c r="A99" s="11" t="s">
        <v>204</v>
      </c>
      <c r="B99" s="35"/>
      <c r="C99" s="132">
        <v>1098703</v>
      </c>
      <c r="D99" s="132"/>
      <c r="E99" s="132"/>
      <c r="F99" s="132"/>
      <c r="G99" s="35" t="s">
        <v>168</v>
      </c>
      <c r="H99" s="35" t="s">
        <v>119</v>
      </c>
      <c r="I99" s="20">
        <f t="shared" ref="I99:I116" si="19">(J99*100)/K99</f>
        <v>23.038835713968631</v>
      </c>
      <c r="J99" s="21">
        <f t="shared" si="15"/>
        <v>134.93799999999999</v>
      </c>
      <c r="K99" s="100">
        <f t="shared" ref="K99:K104" si="20">+M99+O99+Q99+S99+U99</f>
        <v>585.69799999999998</v>
      </c>
      <c r="L99" s="144">
        <f>+IFERROR(VLOOKUP(C99,'Nemlig Q4'!$A$2:$H$67,5,FALSE),0)</f>
        <v>14.938000000000001</v>
      </c>
      <c r="M99" s="144">
        <f>+IFERROR(VLOOKUP(C99,'Nemlig Q4'!$A$2:$H$67,8,FALSE),0)</f>
        <v>419.69799999999998</v>
      </c>
      <c r="N99" s="123" t="str">
        <f>+IFERROR(VLOOKUP(B99,'Hørkram Q4'!$A$6:$D$62,4,FALSE),"0")</f>
        <v>0</v>
      </c>
      <c r="O99" s="124" t="str">
        <f>+IFERROR(VLOOKUP(B99,'Hørkram Q4'!$A$6:$D$62,3,FALSE),"0")</f>
        <v>0</v>
      </c>
      <c r="P99" s="168"/>
      <c r="Q99" s="169"/>
      <c r="R99" s="153">
        <v>120</v>
      </c>
      <c r="S99" s="154">
        <f>120+46</f>
        <v>166</v>
      </c>
      <c r="T99" s="181"/>
      <c r="U99" s="182"/>
    </row>
    <row r="100" spans="1:38" x14ac:dyDescent="0.35">
      <c r="A100" s="11" t="s">
        <v>28</v>
      </c>
      <c r="B100" s="35"/>
      <c r="C100" s="132">
        <v>1174958</v>
      </c>
      <c r="D100" s="132"/>
      <c r="E100" s="132"/>
      <c r="F100" s="132"/>
      <c r="G100" s="35" t="s">
        <v>168</v>
      </c>
      <c r="H100" s="35" t="s">
        <v>117</v>
      </c>
      <c r="I100" s="20" t="str">
        <f>IFERROR(((J100*100)/K100)," ")</f>
        <v xml:space="preserve"> </v>
      </c>
      <c r="J100" s="21">
        <f t="shared" si="15"/>
        <v>0</v>
      </c>
      <c r="K100" s="100">
        <f t="shared" si="20"/>
        <v>0</v>
      </c>
      <c r="L100" s="144">
        <f>+IFERROR(VLOOKUP(C100,'Nemlig Q4'!$A$2:$H$67,5,FALSE),0)</f>
        <v>0</v>
      </c>
      <c r="M100" s="144">
        <f>+IFERROR(VLOOKUP(C100,'Nemlig Q4'!$A$2:$H$67,8,FALSE),0)</f>
        <v>0</v>
      </c>
      <c r="N100" s="123" t="str">
        <f>+IFERROR(VLOOKUP(B100,'Hørkram Q4'!$A$6:$D$62,4,FALSE),"0")</f>
        <v>0</v>
      </c>
      <c r="O100" s="124" t="str">
        <f>+IFERROR(VLOOKUP(B100,'Hørkram Q4'!$A$6:$D$62,3,FALSE),"0")</f>
        <v>0</v>
      </c>
      <c r="P100" s="170"/>
      <c r="Q100" s="171"/>
      <c r="R100" s="153"/>
      <c r="S100" s="154"/>
      <c r="T100" s="181"/>
      <c r="U100" s="182"/>
    </row>
    <row r="101" spans="1:38" ht="15.5" x14ac:dyDescent="0.35">
      <c r="A101" s="11" t="s">
        <v>90</v>
      </c>
      <c r="B101" s="35">
        <v>200031514</v>
      </c>
      <c r="C101" s="132"/>
      <c r="D101" s="132"/>
      <c r="E101" s="132"/>
      <c r="F101" s="132"/>
      <c r="G101" s="35" t="s">
        <v>167</v>
      </c>
      <c r="H101" s="35" t="s">
        <v>120</v>
      </c>
      <c r="I101" s="20">
        <f t="shared" si="19"/>
        <v>53.878509643443159</v>
      </c>
      <c r="J101" s="21">
        <f t="shared" si="15"/>
        <v>1332.1510000000001</v>
      </c>
      <c r="K101" s="100">
        <f t="shared" si="20"/>
        <v>2472.509</v>
      </c>
      <c r="L101" s="144">
        <f>+IFERROR(VLOOKUP(C101,'Nemlig Q4'!$A$2:$H$67,5,FALSE),0)</f>
        <v>0</v>
      </c>
      <c r="M101" s="144">
        <f>+IFERROR(VLOOKUP(C101,'Nemlig Q4'!$A$2:$H$67,8,FALSE),0)</f>
        <v>0</v>
      </c>
      <c r="N101" s="123">
        <f>+IFERROR(VLOOKUP(B101,'Hørkram Q4'!$A$6:$D$62,4,FALSE),"0")</f>
        <v>1332.1510000000001</v>
      </c>
      <c r="O101" s="124">
        <f>+IFERROR(VLOOKUP(B101,'Hørkram Q4'!$A$6:$D$62,3,FALSE),"0")</f>
        <v>2421.509</v>
      </c>
      <c r="P101" s="168"/>
      <c r="Q101" s="169"/>
      <c r="R101" s="155"/>
      <c r="S101" s="152">
        <v>51</v>
      </c>
      <c r="T101" s="181"/>
      <c r="U101" s="182"/>
    </row>
    <row r="102" spans="1:38" ht="15.5" x14ac:dyDescent="0.35">
      <c r="A102" s="11" t="s">
        <v>91</v>
      </c>
      <c r="B102" s="35"/>
      <c r="C102" s="132">
        <v>1218014</v>
      </c>
      <c r="D102" s="132"/>
      <c r="E102" s="132"/>
      <c r="F102" s="132"/>
      <c r="G102" s="35" t="s">
        <v>168</v>
      </c>
      <c r="H102" s="35" t="s">
        <v>117</v>
      </c>
      <c r="I102" s="20">
        <f t="shared" si="19"/>
        <v>13.423935818442541</v>
      </c>
      <c r="J102" s="21">
        <f t="shared" si="15"/>
        <v>328.02300000000002</v>
      </c>
      <c r="K102" s="100">
        <f t="shared" si="20"/>
        <v>2443.5680000000002</v>
      </c>
      <c r="L102" s="144">
        <f>+IFERROR(VLOOKUP(C102,'Nemlig Q4'!$A$2:$H$67,5,FALSE),0)</f>
        <v>328.02300000000002</v>
      </c>
      <c r="M102" s="144">
        <f>+IFERROR(VLOOKUP(C102,'Nemlig Q4'!$A$2:$H$67,8,FALSE),0)</f>
        <v>2443.5680000000002</v>
      </c>
      <c r="N102" s="123" t="str">
        <f>+IFERROR(VLOOKUP(B102,'Hørkram Q4'!$A$6:$D$62,4,FALSE),"0")</f>
        <v>0</v>
      </c>
      <c r="O102" s="124" t="str">
        <f>+IFERROR(VLOOKUP(B102,'Hørkram Q4'!$A$6:$D$62,3,FALSE),"0")</f>
        <v>0</v>
      </c>
      <c r="P102" s="168"/>
      <c r="Q102" s="169"/>
      <c r="R102" s="153"/>
      <c r="S102" s="156"/>
      <c r="T102" s="181"/>
      <c r="U102" s="182"/>
    </row>
    <row r="103" spans="1:38" ht="15.5" x14ac:dyDescent="0.35">
      <c r="A103" s="11" t="s">
        <v>35</v>
      </c>
      <c r="B103" s="35">
        <v>200536224</v>
      </c>
      <c r="C103" s="132"/>
      <c r="D103" s="132"/>
      <c r="E103" s="132"/>
      <c r="F103" s="132"/>
      <c r="G103" s="35" t="s">
        <v>167</v>
      </c>
      <c r="H103" s="35" t="s">
        <v>120</v>
      </c>
      <c r="I103" s="20">
        <f t="shared" si="19"/>
        <v>62.083956415168188</v>
      </c>
      <c r="J103" s="21">
        <f t="shared" si="15"/>
        <v>1507.057</v>
      </c>
      <c r="K103" s="100">
        <f t="shared" si="20"/>
        <v>2427.4499999999998</v>
      </c>
      <c r="L103" s="144">
        <f>+IFERROR(VLOOKUP(C103,'Nemlig Q4'!$A$2:$H$67,5,FALSE),0)</f>
        <v>0</v>
      </c>
      <c r="M103" s="144">
        <f>+IFERROR(VLOOKUP(C103,'Nemlig Q4'!$A$2:$H$67,8,FALSE),0)</f>
        <v>0</v>
      </c>
      <c r="N103" s="123">
        <f>+IFERROR(VLOOKUP(B103,'Hørkram Q4'!$A$6:$D$62,4,FALSE),"0")</f>
        <v>1477.057</v>
      </c>
      <c r="O103" s="124">
        <f>+IFERROR(VLOOKUP(B103,'Hørkram Q4'!$A$6:$D$62,3,FALSE),"0")</f>
        <v>2394.4499999999998</v>
      </c>
      <c r="P103" s="168"/>
      <c r="Q103" s="169"/>
      <c r="R103" s="155">
        <v>30</v>
      </c>
      <c r="S103" s="152">
        <v>33</v>
      </c>
      <c r="T103" s="181"/>
      <c r="U103" s="182"/>
    </row>
    <row r="104" spans="1:38" ht="15.5" x14ac:dyDescent="0.35">
      <c r="A104" s="11" t="s">
        <v>113</v>
      </c>
      <c r="B104" s="35">
        <v>200525099</v>
      </c>
      <c r="C104" s="132"/>
      <c r="D104" s="132"/>
      <c r="E104" s="132"/>
      <c r="F104" s="132"/>
      <c r="G104" s="35" t="s">
        <v>167</v>
      </c>
      <c r="H104" s="35" t="s">
        <v>116</v>
      </c>
      <c r="I104" s="20">
        <f t="shared" si="19"/>
        <v>55.962572312962493</v>
      </c>
      <c r="J104" s="21">
        <f t="shared" si="15"/>
        <v>845.57600000000002</v>
      </c>
      <c r="K104" s="100">
        <f t="shared" si="20"/>
        <v>1510.9670000000001</v>
      </c>
      <c r="L104" s="144">
        <f>+IFERROR(VLOOKUP(C104,'Nemlig Q4'!$A$2:$H$67,5,FALSE),0)</f>
        <v>0</v>
      </c>
      <c r="M104" s="144">
        <f>+IFERROR(VLOOKUP(C104,'Nemlig Q4'!$A$2:$H$67,8,FALSE),0)</f>
        <v>0</v>
      </c>
      <c r="N104" s="123">
        <f>+IFERROR(VLOOKUP(B104,'Hørkram Q4'!$A$6:$D$62,4,FALSE),"0")</f>
        <v>845.57600000000002</v>
      </c>
      <c r="O104" s="124">
        <f>+IFERROR(VLOOKUP(B104,'Hørkram Q4'!$A$6:$D$62,3,FALSE),"0")</f>
        <v>1510.9670000000001</v>
      </c>
      <c r="P104" s="170"/>
      <c r="Q104" s="171"/>
      <c r="R104" s="155"/>
      <c r="S104" s="152"/>
      <c r="T104" s="181"/>
      <c r="U104" s="182"/>
    </row>
    <row r="105" spans="1:38" ht="15.5" x14ac:dyDescent="0.35">
      <c r="A105" s="11" t="s">
        <v>69</v>
      </c>
      <c r="B105" s="35"/>
      <c r="C105" s="132">
        <v>1096809</v>
      </c>
      <c r="D105" s="132"/>
      <c r="E105" s="132"/>
      <c r="F105" s="132"/>
      <c r="G105" s="35" t="s">
        <v>168</v>
      </c>
      <c r="H105" s="35" t="s">
        <v>122</v>
      </c>
      <c r="I105" s="20">
        <f t="shared" si="19"/>
        <v>61.387354205033759</v>
      </c>
      <c r="J105" s="21">
        <f t="shared" ref="J105:J115" si="21">+L105+N105+P105+R105+T105</f>
        <v>24</v>
      </c>
      <c r="K105" s="100">
        <f t="shared" ref="K105:K115" si="22">+M105+O105+Q105+S105+U105</f>
        <v>39.096000000000004</v>
      </c>
      <c r="L105" s="144">
        <f>+IFERROR(VLOOKUP(C105,'Nemlig Q4'!$A$2:$H$67,5,FALSE),0)</f>
        <v>0</v>
      </c>
      <c r="M105" s="144">
        <f>+IFERROR(VLOOKUP(C105,'Nemlig Q4'!$A$2:$H$67,8,FALSE),0)</f>
        <v>13.98</v>
      </c>
      <c r="N105" s="123" t="str">
        <f>+IFERROR(VLOOKUP(B105,'Hørkram Q4'!$A$6:$D$62,4,FALSE),"0")</f>
        <v>0</v>
      </c>
      <c r="O105" s="124" t="str">
        <f>+IFERROR(VLOOKUP(B105,'Hørkram Q4'!$A$6:$D$62,3,FALSE),"0")</f>
        <v>0</v>
      </c>
      <c r="P105" s="168"/>
      <c r="Q105" s="169"/>
      <c r="R105" s="155">
        <v>24</v>
      </c>
      <c r="S105" s="152">
        <v>25.116</v>
      </c>
      <c r="T105" s="181"/>
      <c r="U105" s="182"/>
    </row>
    <row r="106" spans="1:38" x14ac:dyDescent="0.35">
      <c r="A106" s="11" t="s">
        <v>70</v>
      </c>
      <c r="B106" s="35"/>
      <c r="C106" s="132">
        <v>1216525</v>
      </c>
      <c r="D106" s="132"/>
      <c r="E106" s="132"/>
      <c r="F106" s="132"/>
      <c r="G106" s="35" t="s">
        <v>168</v>
      </c>
      <c r="H106" s="35" t="s">
        <v>119</v>
      </c>
      <c r="I106" s="20">
        <f t="shared" si="19"/>
        <v>16.646484461251326</v>
      </c>
      <c r="J106" s="21">
        <f t="shared" si="21"/>
        <v>71.620999999999995</v>
      </c>
      <c r="K106" s="100">
        <f t="shared" si="22"/>
        <v>430.24700000000001</v>
      </c>
      <c r="L106" s="144">
        <f>+IFERROR(VLOOKUP(C106,'Nemlig Q4'!$A$2:$H$67,5,FALSE),0)+'Nemlig Q4'!E24</f>
        <v>71.620999999999995</v>
      </c>
      <c r="M106" s="144">
        <f>+IFERROR(VLOOKUP(C106,'Nemlig Q4'!$A$2:$H$67,8,FALSE),0)+'Nemlig Q4'!H24</f>
        <v>430.24700000000001</v>
      </c>
      <c r="N106" s="123" t="str">
        <f>+IFERROR(VLOOKUP(B106,'Hørkram Q4'!$A$6:$D$62,4,FALSE),"0")</f>
        <v>0</v>
      </c>
      <c r="O106" s="124" t="str">
        <f>+IFERROR(VLOOKUP(B106,'Hørkram Q4'!$A$6:$D$62,3,FALSE),"0")</f>
        <v>0</v>
      </c>
      <c r="P106" s="170"/>
      <c r="Q106" s="171"/>
      <c r="R106" s="153"/>
      <c r="S106" s="154"/>
      <c r="T106" s="181"/>
      <c r="U106" s="182"/>
    </row>
    <row r="107" spans="1:38" ht="15.5" x14ac:dyDescent="0.35">
      <c r="A107" s="11" t="s">
        <v>92</v>
      </c>
      <c r="B107" s="35"/>
      <c r="C107" s="132">
        <v>1199339</v>
      </c>
      <c r="D107" s="132">
        <v>1573820</v>
      </c>
      <c r="E107" s="132"/>
      <c r="F107" s="132"/>
      <c r="G107" s="35" t="s">
        <v>168</v>
      </c>
      <c r="H107" s="35" t="s">
        <v>122</v>
      </c>
      <c r="I107" s="20">
        <f t="shared" si="19"/>
        <v>3.7070830535805488</v>
      </c>
      <c r="J107" s="21">
        <f t="shared" si="21"/>
        <v>6.46</v>
      </c>
      <c r="K107" s="100">
        <f t="shared" si="22"/>
        <v>174.261</v>
      </c>
      <c r="L107" s="144">
        <f>+IFERROR(VLOOKUP(C107,'Nemlig Q4'!$A$2:$H$67,5,FALSE),0)</f>
        <v>6.46</v>
      </c>
      <c r="M107" s="144">
        <f>+IFERROR(VLOOKUP(C107,'Nemlig Q4'!$A$2:$H$67,8,FALSE),0)</f>
        <v>111.541</v>
      </c>
      <c r="N107" s="123" t="str">
        <f>+IFERROR(VLOOKUP(B107,'Hørkram Q4'!$A$6:$D$62,4,FALSE),"0")</f>
        <v>0</v>
      </c>
      <c r="O107" s="124" t="str">
        <f>+IFERROR(VLOOKUP(B107,'Hørkram Q4'!$A$6:$D$62,3,FALSE),"0")</f>
        <v>0</v>
      </c>
      <c r="P107" s="168"/>
      <c r="Q107" s="169"/>
      <c r="R107" s="153"/>
      <c r="S107" s="154">
        <v>62.72</v>
      </c>
      <c r="T107" s="181"/>
      <c r="U107" s="182"/>
    </row>
    <row r="108" spans="1:38" s="5" customFormat="1" x14ac:dyDescent="0.35">
      <c r="A108" s="11" t="s">
        <v>63</v>
      </c>
      <c r="B108" s="35"/>
      <c r="C108" s="132">
        <v>1839601</v>
      </c>
      <c r="D108" s="132"/>
      <c r="E108" s="132"/>
      <c r="F108" s="132"/>
      <c r="G108" s="35" t="s">
        <v>168</v>
      </c>
      <c r="H108" s="35" t="s">
        <v>117</v>
      </c>
      <c r="I108" s="20">
        <f t="shared" si="19"/>
        <v>24.712022398374067</v>
      </c>
      <c r="J108" s="21">
        <f t="shared" si="21"/>
        <v>118.185</v>
      </c>
      <c r="K108" s="100">
        <f t="shared" si="22"/>
        <v>478.24900000000002</v>
      </c>
      <c r="L108" s="144">
        <f>+IFERROR(VLOOKUP(C108,'Nemlig Q4'!$A$2:$H$67,5,FALSE),0)</f>
        <v>118.185</v>
      </c>
      <c r="M108" s="144">
        <f>+IFERROR(VLOOKUP(C108,'Nemlig Q4'!$A$2:$H$67,8,FALSE),0)</f>
        <v>478.24900000000002</v>
      </c>
      <c r="N108" s="123" t="str">
        <f>+IFERROR(VLOOKUP(B108,'Hørkram Q4'!$A$6:$D$62,4,FALSE),"0")</f>
        <v>0</v>
      </c>
      <c r="O108" s="124" t="str">
        <f>+IFERROR(VLOOKUP(B108,'Hørkram Q4'!$A$6:$D$62,3,FALSE),"0")</f>
        <v>0</v>
      </c>
      <c r="P108" s="170"/>
      <c r="Q108" s="171"/>
      <c r="R108" s="153"/>
      <c r="S108" s="154"/>
      <c r="T108" s="181"/>
      <c r="U108" s="182"/>
      <c r="V108" s="4"/>
      <c r="W108" s="4"/>
      <c r="X108" s="4"/>
    </row>
    <row r="109" spans="1:38" s="5" customFormat="1" x14ac:dyDescent="0.35">
      <c r="A109" s="11" t="s">
        <v>85</v>
      </c>
      <c r="B109" s="35"/>
      <c r="C109" s="132">
        <v>1123703</v>
      </c>
      <c r="D109" s="132"/>
      <c r="E109" s="132"/>
      <c r="F109" s="132"/>
      <c r="G109" s="35" t="s">
        <v>167</v>
      </c>
      <c r="H109" s="35" t="s">
        <v>116</v>
      </c>
      <c r="I109" s="20">
        <f t="shared" si="19"/>
        <v>9.1252558446104697</v>
      </c>
      <c r="J109" s="21">
        <f t="shared" si="21"/>
        <v>28.934999999999999</v>
      </c>
      <c r="K109" s="100">
        <f t="shared" si="22"/>
        <v>317.08699999999999</v>
      </c>
      <c r="L109" s="144">
        <f>+IFERROR(VLOOKUP(C109,'Nemlig Q4'!$A$2:$H$67,5,FALSE),0)</f>
        <v>28.934999999999999</v>
      </c>
      <c r="M109" s="144">
        <f>+IFERROR(VLOOKUP(C109,'Nemlig Q4'!$A$2:$H$67,8,FALSE),0)</f>
        <v>317.08699999999999</v>
      </c>
      <c r="N109" s="123" t="str">
        <f>+IFERROR(VLOOKUP(B109,'Hørkram Q4'!$A$6:$D$62,4,FALSE),"0")</f>
        <v>0</v>
      </c>
      <c r="O109" s="124" t="str">
        <f>+IFERROR(VLOOKUP(B109,'Hørkram Q4'!$A$6:$D$62,3,FALSE),"0")</f>
        <v>0</v>
      </c>
      <c r="P109" s="170"/>
      <c r="Q109" s="171"/>
      <c r="R109" s="153"/>
      <c r="S109" s="154"/>
      <c r="T109" s="181"/>
      <c r="U109" s="182"/>
      <c r="V109" s="4"/>
      <c r="W109" s="4"/>
      <c r="X109" s="4"/>
    </row>
    <row r="110" spans="1:38" s="5" customFormat="1" x14ac:dyDescent="0.35">
      <c r="A110" s="11" t="s">
        <v>86</v>
      </c>
      <c r="B110" s="35">
        <v>200033969</v>
      </c>
      <c r="C110" s="132">
        <v>2167011</v>
      </c>
      <c r="D110" s="132"/>
      <c r="E110" s="132"/>
      <c r="F110" s="132"/>
      <c r="G110" s="35" t="s">
        <v>167</v>
      </c>
      <c r="H110" s="35" t="s">
        <v>116</v>
      </c>
      <c r="I110" s="20">
        <f t="shared" si="19"/>
        <v>12.897674649619745</v>
      </c>
      <c r="J110" s="21">
        <f t="shared" si="21"/>
        <v>176.58</v>
      </c>
      <c r="K110" s="100">
        <f t="shared" si="22"/>
        <v>1369.0840000000001</v>
      </c>
      <c r="L110" s="144">
        <f>+IFERROR(VLOOKUP(C110,'Nemlig Q4'!$A$2:$H$67,5,FALSE),0)</f>
        <v>176.58</v>
      </c>
      <c r="M110" s="144">
        <f>+IFERROR(VLOOKUP(C110,'Nemlig Q4'!$A$2:$H$67,8,FALSE),0)</f>
        <v>1369.0840000000001</v>
      </c>
      <c r="N110" s="123" t="str">
        <f>+IFERROR(VLOOKUP(B110,'Hørkram Q4'!$A$6:$D$62,4,FALSE),"0")</f>
        <v>0</v>
      </c>
      <c r="O110" s="124" t="str">
        <f>+IFERROR(VLOOKUP(B110,'Hørkram Q4'!$A$6:$D$62,3,FALSE),"0")</f>
        <v>0</v>
      </c>
      <c r="P110" s="170"/>
      <c r="Q110" s="171"/>
      <c r="R110" s="153"/>
      <c r="S110" s="154"/>
      <c r="T110" s="181"/>
      <c r="U110" s="182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</row>
    <row r="111" spans="1:38" ht="15.5" x14ac:dyDescent="0.35">
      <c r="A111" s="11" t="s">
        <v>176</v>
      </c>
      <c r="B111" s="35"/>
      <c r="C111" s="132">
        <v>2144619</v>
      </c>
      <c r="D111" s="132"/>
      <c r="E111" s="132"/>
      <c r="F111" s="132"/>
      <c r="G111" s="35" t="s">
        <v>168</v>
      </c>
      <c r="H111" s="35" t="s">
        <v>117</v>
      </c>
      <c r="I111" s="20">
        <f t="shared" si="19"/>
        <v>46.678026914793143</v>
      </c>
      <c r="J111" s="21">
        <f t="shared" si="21"/>
        <v>467.04399999999998</v>
      </c>
      <c r="K111" s="100">
        <f t="shared" si="22"/>
        <v>1000.5650000000001</v>
      </c>
      <c r="L111" s="144">
        <f>+IFERROR(VLOOKUP(C111,'Nemlig Q4'!$A$2:$H$67,5,FALSE),0)</f>
        <v>467.04399999999998</v>
      </c>
      <c r="M111" s="144">
        <f>+IFERROR(VLOOKUP(C111,'Nemlig Q4'!$A$2:$H$67,8,FALSE),0)</f>
        <v>1000.5650000000001</v>
      </c>
      <c r="N111" s="123" t="str">
        <f>+IFERROR(VLOOKUP(B111,'Hørkram Q4'!$A$6:$D$62,4,FALSE),"0")</f>
        <v>0</v>
      </c>
      <c r="O111" s="124" t="str">
        <f>+IFERROR(VLOOKUP(B111,'Hørkram Q4'!$A$6:$D$62,3,FALSE),"0")</f>
        <v>0</v>
      </c>
      <c r="P111" s="168"/>
      <c r="Q111" s="169"/>
      <c r="R111" s="153"/>
      <c r="S111" s="154"/>
      <c r="T111" s="181"/>
      <c r="U111" s="182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</row>
    <row r="112" spans="1:38" s="5" customFormat="1" ht="15.5" x14ac:dyDescent="0.35">
      <c r="A112" s="11" t="s">
        <v>205</v>
      </c>
      <c r="B112" s="35"/>
      <c r="C112" s="132"/>
      <c r="D112" s="132"/>
      <c r="E112" s="132"/>
      <c r="F112" s="132"/>
      <c r="G112" s="35" t="s">
        <v>168</v>
      </c>
      <c r="H112" s="35" t="s">
        <v>122</v>
      </c>
      <c r="I112" s="20">
        <f>(J112*100)/K112</f>
        <v>0</v>
      </c>
      <c r="J112" s="21">
        <f t="shared" si="21"/>
        <v>0</v>
      </c>
      <c r="K112" s="100">
        <f t="shared" si="22"/>
        <v>125.2</v>
      </c>
      <c r="L112" s="144">
        <f>+IFERROR(VLOOKUP(C112,'Nemlig Q4'!$A$2:$H$67,5,FALSE),0)</f>
        <v>0</v>
      </c>
      <c r="M112" s="144">
        <f>+IFERROR(VLOOKUP(C112,'Nemlig Q4'!$A$2:$H$67,8,FALSE),0)</f>
        <v>0</v>
      </c>
      <c r="N112" s="123" t="str">
        <f>+IFERROR(VLOOKUP(B112,'Hørkram Q4'!$A$6:$D$62,4,FALSE),"0")</f>
        <v>0</v>
      </c>
      <c r="O112" s="124" t="str">
        <f>+IFERROR(VLOOKUP(B112,'Hørkram Q4'!$A$6:$D$62,3,FALSE),"0")</f>
        <v>0</v>
      </c>
      <c r="P112" s="168"/>
      <c r="Q112" s="169"/>
      <c r="R112" s="155"/>
      <c r="S112" s="152">
        <v>125.2</v>
      </c>
      <c r="T112" s="181"/>
      <c r="U112" s="182"/>
      <c r="V112" s="4"/>
      <c r="W112" s="4"/>
      <c r="X112" s="4"/>
    </row>
    <row r="113" spans="1:24" s="5" customFormat="1" ht="15.5" x14ac:dyDescent="0.35">
      <c r="A113" s="11" t="s">
        <v>206</v>
      </c>
      <c r="B113" s="35"/>
      <c r="C113" s="132">
        <v>1004359</v>
      </c>
      <c r="D113" s="132">
        <v>2230005</v>
      </c>
      <c r="E113" s="132">
        <v>2231699</v>
      </c>
      <c r="F113" s="132">
        <v>1380376</v>
      </c>
      <c r="G113" s="35" t="s">
        <v>168</v>
      </c>
      <c r="H113" s="35" t="s">
        <v>119</v>
      </c>
      <c r="I113" s="20">
        <f t="shared" si="19"/>
        <v>25.328874937911891</v>
      </c>
      <c r="J113" s="21">
        <f t="shared" si="21"/>
        <v>98.927999999999997</v>
      </c>
      <c r="K113" s="100">
        <f t="shared" si="22"/>
        <v>390.57400000000001</v>
      </c>
      <c r="L113" s="144">
        <f>+IFERROR(VLOOKUP(C113,'Nemlig Q4'!$A$2:$H$67,5,FALSE),0)</f>
        <v>98.927999999999997</v>
      </c>
      <c r="M113" s="144">
        <f>+IFERROR(VLOOKUP(C113,'Nemlig Q4'!$A$2:$H$67,8,FALSE),0)</f>
        <v>390.57400000000001</v>
      </c>
      <c r="N113" s="123" t="str">
        <f>+IFERROR(VLOOKUP(B113,'Hørkram Q4'!$A$6:$D$62,4,FALSE),"0")</f>
        <v>0</v>
      </c>
      <c r="O113" s="124" t="str">
        <f>+IFERROR(VLOOKUP(B113,'Hørkram Q4'!$A$6:$D$62,3,FALSE),"0")</f>
        <v>0</v>
      </c>
      <c r="P113" s="170"/>
      <c r="Q113" s="171"/>
      <c r="R113" s="150"/>
      <c r="S113" s="152"/>
      <c r="T113" s="181"/>
      <c r="U113" s="182"/>
      <c r="V113" s="4"/>
      <c r="W113" s="4"/>
      <c r="X113" s="4"/>
    </row>
    <row r="114" spans="1:24" ht="15.5" x14ac:dyDescent="0.35">
      <c r="A114" s="11" t="s">
        <v>79</v>
      </c>
      <c r="B114" s="35">
        <v>200023854</v>
      </c>
      <c r="C114" s="132"/>
      <c r="D114" s="132"/>
      <c r="E114" s="132"/>
      <c r="F114" s="132"/>
      <c r="G114" s="35" t="s">
        <v>167</v>
      </c>
      <c r="H114" s="35" t="s">
        <v>117</v>
      </c>
      <c r="I114" s="20">
        <f t="shared" si="19"/>
        <v>24.207788215556633</v>
      </c>
      <c r="J114" s="21">
        <f t="shared" si="21"/>
        <v>557.54700000000003</v>
      </c>
      <c r="K114" s="100">
        <f t="shared" si="22"/>
        <v>2303.172</v>
      </c>
      <c r="L114" s="144">
        <f>+IFERROR(VLOOKUP(C114,'Nemlig Q4'!$A$2:$H$67,5,FALSE),0)</f>
        <v>0</v>
      </c>
      <c r="M114" s="144">
        <f>+IFERROR(VLOOKUP(C114,'Nemlig Q4'!$A$2:$H$67,8,FALSE),0)</f>
        <v>0</v>
      </c>
      <c r="N114" s="123">
        <f>+IFERROR(VLOOKUP(B114,'Hørkram Q4'!$A$6:$D$62,4,FALSE),"0")</f>
        <v>537.947</v>
      </c>
      <c r="O114" s="124">
        <f>+IFERROR(VLOOKUP(B114,'Hørkram Q4'!$A$6:$D$62,3,FALSE),"0")</f>
        <v>1992.7170000000001</v>
      </c>
      <c r="P114" s="170"/>
      <c r="Q114" s="171"/>
      <c r="R114" s="155">
        <v>0</v>
      </c>
      <c r="S114" s="152">
        <v>31</v>
      </c>
      <c r="T114" s="181">
        <f>6+10.96+2.64</f>
        <v>19.600000000000001</v>
      </c>
      <c r="U114" s="154">
        <f>6+250.27+23.185</f>
        <v>279.45499999999998</v>
      </c>
    </row>
    <row r="115" spans="1:24" ht="15" thickBot="1" x14ac:dyDescent="0.4">
      <c r="A115" s="108" t="s">
        <v>21</v>
      </c>
      <c r="B115" s="109">
        <v>200541495</v>
      </c>
      <c r="C115" s="36"/>
      <c r="D115" s="36"/>
      <c r="E115" s="36"/>
      <c r="F115" s="36"/>
      <c r="G115" s="36" t="s">
        <v>167</v>
      </c>
      <c r="H115" s="36" t="s">
        <v>115</v>
      </c>
      <c r="I115" s="110">
        <f t="shared" si="19"/>
        <v>95.211594032993602</v>
      </c>
      <c r="J115" s="110">
        <f t="shared" si="21"/>
        <v>1689.2660000000001</v>
      </c>
      <c r="K115" s="99">
        <f t="shared" si="22"/>
        <v>1774.223</v>
      </c>
      <c r="L115" s="144">
        <f>+IFERROR(VLOOKUP(C115,'Nemlig Q4'!$A$2:$H$65,5,FALSE),0)</f>
        <v>0</v>
      </c>
      <c r="M115" s="144">
        <f>+IFERROR(VLOOKUP(C115,'Nemlig Q4'!$A$2:$H$65,8,FALSE),0)</f>
        <v>0</v>
      </c>
      <c r="N115" s="123">
        <f>+IFERROR(VLOOKUP(B115,'Hørkram Q4'!$A$6:$D$62,4,FALSE),"0")</f>
        <v>1679.2660000000001</v>
      </c>
      <c r="O115" s="124">
        <f>+IFERROR(VLOOKUP(B115,'Hørkram Q4'!$A$6:$D$62,3,FALSE),"0")</f>
        <v>1758.223</v>
      </c>
      <c r="P115" s="170"/>
      <c r="Q115" s="171"/>
      <c r="R115" s="160">
        <v>10</v>
      </c>
      <c r="S115" s="161">
        <v>16</v>
      </c>
      <c r="T115" s="192"/>
      <c r="U115" s="193"/>
    </row>
    <row r="116" spans="1:24" s="5" customFormat="1" ht="15" thickBot="1" x14ac:dyDescent="0.4">
      <c r="A116" s="111" t="s">
        <v>60</v>
      </c>
      <c r="B116" s="112"/>
      <c r="C116" s="112"/>
      <c r="D116" s="112"/>
      <c r="E116" s="112"/>
      <c r="F116" s="112"/>
      <c r="G116" s="112"/>
      <c r="H116" s="112"/>
      <c r="I116" s="113">
        <f t="shared" si="19"/>
        <v>60.538407467970835</v>
      </c>
      <c r="J116" s="114">
        <f>L116+N116+P116+R116+T116</f>
        <v>81119.058999999994</v>
      </c>
      <c r="K116" s="115">
        <f t="shared" ref="K116" si="23">M116+O116+Q116+S116+U116</f>
        <v>133996.024</v>
      </c>
      <c r="L116" s="141">
        <f t="shared" ref="L116:U116" si="24">SUM(L5:L115)</f>
        <v>4692.7</v>
      </c>
      <c r="M116" s="115">
        <f t="shared" si="24"/>
        <v>18373.055999999997</v>
      </c>
      <c r="N116" s="141">
        <f t="shared" si="24"/>
        <v>75479.595000000001</v>
      </c>
      <c r="O116" s="115">
        <f t="shared" si="24"/>
        <v>112614.66499999999</v>
      </c>
      <c r="P116" s="177">
        <f>SUM(P5:P115)</f>
        <v>10</v>
      </c>
      <c r="Q116" s="141">
        <f t="shared" si="24"/>
        <v>252.00800000000001</v>
      </c>
      <c r="R116" s="162">
        <f t="shared" si="24"/>
        <v>850.86399999999992</v>
      </c>
      <c r="S116" s="113">
        <f t="shared" si="24"/>
        <v>2406.9199999999996</v>
      </c>
      <c r="T116" s="194">
        <f t="shared" si="24"/>
        <v>85.9</v>
      </c>
      <c r="U116" s="141">
        <f t="shared" si="24"/>
        <v>349.375</v>
      </c>
      <c r="V116" s="4"/>
      <c r="W116" s="4"/>
      <c r="X116" s="4"/>
    </row>
    <row r="117" spans="1:24" x14ac:dyDescent="0.35">
      <c r="A117" s="5"/>
      <c r="B117" s="81"/>
      <c r="C117" s="81"/>
      <c r="D117" s="81"/>
      <c r="E117" s="81"/>
      <c r="F117" s="81"/>
      <c r="G117" s="81"/>
      <c r="H117" s="37"/>
      <c r="I117" s="2"/>
      <c r="K117" s="97"/>
      <c r="N117" s="97"/>
      <c r="O117" s="97"/>
      <c r="R117" s="97"/>
      <c r="S117" s="97"/>
    </row>
    <row r="118" spans="1:24" x14ac:dyDescent="0.35">
      <c r="A118" s="24"/>
      <c r="B118" s="81"/>
      <c r="C118" s="81"/>
      <c r="D118" s="81"/>
      <c r="E118" s="81"/>
      <c r="F118" s="81"/>
      <c r="G118" s="81"/>
      <c r="H118" s="38"/>
      <c r="I118" s="7"/>
      <c r="K118" s="98"/>
      <c r="N118" s="97"/>
      <c r="O118" s="142"/>
      <c r="R118" s="97"/>
      <c r="S118" s="97"/>
    </row>
    <row r="119" spans="1:24" x14ac:dyDescent="0.35">
      <c r="B119" s="195"/>
      <c r="C119" s="81"/>
      <c r="D119" s="81"/>
      <c r="E119" s="81"/>
      <c r="F119" s="81"/>
      <c r="G119" s="81"/>
    </row>
    <row r="120" spans="1:24" x14ac:dyDescent="0.35">
      <c r="A120" s="25"/>
      <c r="B120" s="195"/>
      <c r="C120" s="81"/>
      <c r="D120" s="81"/>
      <c r="E120" s="81"/>
      <c r="F120" s="81"/>
      <c r="G120" s="81"/>
      <c r="H120" s="25"/>
    </row>
    <row r="121" spans="1:24" x14ac:dyDescent="0.35">
      <c r="A121" s="25"/>
      <c r="B121" s="195"/>
      <c r="C121" s="81"/>
      <c r="D121" s="81"/>
      <c r="E121" s="81"/>
      <c r="F121" s="81"/>
      <c r="G121" s="81"/>
      <c r="H121" s="25"/>
    </row>
    <row r="122" spans="1:24" x14ac:dyDescent="0.35">
      <c r="B122" s="195"/>
      <c r="C122" s="81"/>
      <c r="D122" s="81"/>
      <c r="E122" s="81"/>
      <c r="F122" s="81"/>
      <c r="G122" s="81"/>
      <c r="N122" s="97"/>
      <c r="O122" s="97"/>
    </row>
    <row r="123" spans="1:24" x14ac:dyDescent="0.35">
      <c r="B123" s="195"/>
      <c r="C123" s="81"/>
      <c r="D123" s="81"/>
      <c r="E123" s="81"/>
      <c r="F123" s="81"/>
      <c r="G123" s="81"/>
    </row>
    <row r="124" spans="1:24" x14ac:dyDescent="0.35">
      <c r="B124" s="195"/>
      <c r="C124" s="81"/>
      <c r="D124" s="81"/>
      <c r="E124" s="81"/>
      <c r="F124" s="81"/>
      <c r="G124" s="81"/>
    </row>
    <row r="125" spans="1:24" x14ac:dyDescent="0.35">
      <c r="B125" s="195"/>
      <c r="C125" s="81"/>
      <c r="D125" s="81"/>
      <c r="E125" s="81"/>
      <c r="F125" s="81"/>
      <c r="G125" s="81"/>
    </row>
    <row r="126" spans="1:24" x14ac:dyDescent="0.35">
      <c r="B126" s="195"/>
      <c r="C126" s="81"/>
      <c r="D126" s="81"/>
      <c r="E126" s="81"/>
      <c r="F126" s="81"/>
      <c r="G126" s="81"/>
    </row>
    <row r="127" spans="1:24" x14ac:dyDescent="0.35">
      <c r="B127" s="195"/>
      <c r="C127" s="81"/>
      <c r="D127" s="81"/>
      <c r="E127" s="81"/>
      <c r="F127" s="81"/>
      <c r="G127" s="81"/>
    </row>
    <row r="128" spans="1:24" x14ac:dyDescent="0.35">
      <c r="B128" s="195"/>
      <c r="C128" s="81"/>
      <c r="D128" s="81"/>
      <c r="E128" s="81"/>
      <c r="F128" s="81"/>
      <c r="G128" s="81"/>
    </row>
    <row r="129" spans="2:7" x14ac:dyDescent="0.35">
      <c r="B129" s="195"/>
      <c r="C129" s="81"/>
      <c r="D129" s="81"/>
      <c r="E129" s="81"/>
      <c r="F129" s="81"/>
      <c r="G129" s="81"/>
    </row>
    <row r="130" spans="2:7" x14ac:dyDescent="0.35">
      <c r="B130" s="195"/>
      <c r="C130" s="81"/>
      <c r="D130" s="81"/>
      <c r="E130" s="81"/>
      <c r="F130" s="81"/>
      <c r="G130" s="81"/>
    </row>
    <row r="131" spans="2:7" x14ac:dyDescent="0.35">
      <c r="B131" s="195"/>
      <c r="C131" s="81"/>
      <c r="D131" s="81"/>
      <c r="E131" s="81"/>
      <c r="F131" s="81"/>
      <c r="G131" s="81"/>
    </row>
    <row r="132" spans="2:7" x14ac:dyDescent="0.35">
      <c r="B132" s="195"/>
      <c r="C132" s="81"/>
      <c r="D132" s="81"/>
      <c r="E132" s="81"/>
      <c r="F132" s="81"/>
      <c r="G132" s="81"/>
    </row>
    <row r="133" spans="2:7" x14ac:dyDescent="0.35">
      <c r="B133" s="195"/>
      <c r="C133" s="81"/>
      <c r="D133" s="81"/>
      <c r="E133" s="81"/>
      <c r="F133" s="81"/>
      <c r="G133" s="81"/>
    </row>
    <row r="134" spans="2:7" x14ac:dyDescent="0.35">
      <c r="B134" s="195"/>
      <c r="C134" s="81"/>
      <c r="D134" s="81"/>
      <c r="E134" s="81"/>
      <c r="F134" s="81"/>
      <c r="G134" s="81"/>
    </row>
    <row r="135" spans="2:7" x14ac:dyDescent="0.35">
      <c r="B135" s="195"/>
      <c r="C135" s="81"/>
      <c r="D135" s="81"/>
      <c r="E135" s="81"/>
      <c r="F135" s="81"/>
      <c r="G135" s="81"/>
    </row>
    <row r="136" spans="2:7" x14ac:dyDescent="0.35">
      <c r="B136" s="195"/>
      <c r="C136" s="81"/>
      <c r="D136" s="81"/>
      <c r="E136" s="81"/>
      <c r="F136" s="81"/>
      <c r="G136" s="81"/>
    </row>
    <row r="137" spans="2:7" x14ac:dyDescent="0.35">
      <c r="B137" s="195"/>
      <c r="C137" s="81"/>
      <c r="D137" s="81"/>
      <c r="E137" s="81"/>
      <c r="F137" s="81"/>
      <c r="G137" s="81"/>
    </row>
    <row r="138" spans="2:7" x14ac:dyDescent="0.35">
      <c r="B138" s="195"/>
      <c r="C138" s="81"/>
      <c r="D138" s="81"/>
      <c r="E138" s="81"/>
      <c r="F138" s="81"/>
      <c r="G138" s="81"/>
    </row>
    <row r="139" spans="2:7" x14ac:dyDescent="0.35">
      <c r="B139" s="195"/>
      <c r="C139" s="81"/>
      <c r="D139" s="81"/>
      <c r="E139" s="81"/>
      <c r="F139" s="81"/>
      <c r="G139" s="81"/>
    </row>
    <row r="140" spans="2:7" x14ac:dyDescent="0.35">
      <c r="B140" s="195"/>
      <c r="C140" s="81"/>
      <c r="D140" s="81"/>
      <c r="E140" s="81"/>
      <c r="F140" s="81"/>
      <c r="G140" s="81"/>
    </row>
    <row r="141" spans="2:7" x14ac:dyDescent="0.35">
      <c r="B141" s="195"/>
      <c r="C141" s="81"/>
      <c r="D141" s="81"/>
      <c r="E141" s="81"/>
      <c r="F141" s="81"/>
      <c r="G141" s="81"/>
    </row>
    <row r="142" spans="2:7" x14ac:dyDescent="0.35">
      <c r="B142" s="195"/>
      <c r="C142" s="81"/>
      <c r="D142" s="81"/>
      <c r="E142" s="81"/>
      <c r="F142" s="81"/>
      <c r="G142" s="81"/>
    </row>
    <row r="143" spans="2:7" x14ac:dyDescent="0.35">
      <c r="B143" s="195"/>
      <c r="C143" s="81"/>
      <c r="D143" s="81"/>
      <c r="E143" s="81"/>
      <c r="F143" s="81"/>
      <c r="G143" s="81"/>
    </row>
    <row r="144" spans="2:7" x14ac:dyDescent="0.35">
      <c r="B144" s="195"/>
      <c r="C144" s="81"/>
      <c r="D144" s="81"/>
      <c r="E144" s="81"/>
      <c r="F144" s="81"/>
      <c r="G144" s="81"/>
    </row>
    <row r="145" spans="2:7" x14ac:dyDescent="0.35">
      <c r="B145" s="195"/>
      <c r="C145" s="81"/>
      <c r="D145" s="81"/>
      <c r="E145" s="81"/>
      <c r="F145" s="81"/>
      <c r="G145" s="81"/>
    </row>
    <row r="146" spans="2:7" x14ac:dyDescent="0.35">
      <c r="B146" s="195"/>
      <c r="C146" s="81"/>
      <c r="D146" s="81"/>
      <c r="E146" s="81"/>
      <c r="F146" s="81"/>
      <c r="G146" s="81"/>
    </row>
    <row r="147" spans="2:7" x14ac:dyDescent="0.35">
      <c r="B147" s="195"/>
      <c r="C147" s="81"/>
      <c r="D147" s="81"/>
      <c r="E147" s="81"/>
      <c r="F147" s="81"/>
      <c r="G147" s="81"/>
    </row>
    <row r="148" spans="2:7" x14ac:dyDescent="0.35">
      <c r="B148" s="195"/>
      <c r="C148" s="81"/>
      <c r="D148" s="81"/>
      <c r="E148" s="81"/>
      <c r="F148" s="81"/>
      <c r="G148" s="81"/>
    </row>
    <row r="149" spans="2:7" x14ac:dyDescent="0.35">
      <c r="B149" s="195"/>
      <c r="C149" s="81"/>
      <c r="D149" s="81"/>
      <c r="E149" s="81"/>
      <c r="F149" s="81"/>
      <c r="G149" s="81"/>
    </row>
    <row r="150" spans="2:7" x14ac:dyDescent="0.35">
      <c r="B150" s="195"/>
      <c r="C150" s="81"/>
      <c r="D150" s="81"/>
      <c r="E150" s="81"/>
      <c r="F150" s="81"/>
      <c r="G150" s="81"/>
    </row>
    <row r="151" spans="2:7" x14ac:dyDescent="0.35">
      <c r="B151" s="195"/>
      <c r="C151" s="81"/>
      <c r="D151" s="81"/>
      <c r="E151" s="81"/>
      <c r="F151" s="81"/>
      <c r="G151" s="81"/>
    </row>
    <row r="152" spans="2:7" x14ac:dyDescent="0.35">
      <c r="B152" s="195"/>
      <c r="C152" s="81"/>
      <c r="D152" s="81"/>
      <c r="E152" s="81"/>
      <c r="F152" s="81"/>
      <c r="G152" s="81"/>
    </row>
    <row r="153" spans="2:7" x14ac:dyDescent="0.35">
      <c r="B153" s="195"/>
      <c r="C153" s="81"/>
      <c r="D153" s="81"/>
      <c r="E153" s="81"/>
      <c r="F153" s="81"/>
      <c r="G153" s="81"/>
    </row>
    <row r="154" spans="2:7" x14ac:dyDescent="0.35">
      <c r="B154" s="195"/>
      <c r="C154" s="81"/>
      <c r="D154" s="81"/>
      <c r="E154" s="81"/>
      <c r="F154" s="81"/>
      <c r="G154" s="81"/>
    </row>
    <row r="155" spans="2:7" x14ac:dyDescent="0.35">
      <c r="B155" s="195"/>
      <c r="C155" s="81"/>
      <c r="D155" s="81"/>
      <c r="E155" s="81"/>
      <c r="F155" s="81"/>
      <c r="G155" s="81"/>
    </row>
    <row r="156" spans="2:7" x14ac:dyDescent="0.35">
      <c r="B156" s="195"/>
      <c r="C156" s="81"/>
      <c r="D156" s="81"/>
      <c r="E156" s="81"/>
      <c r="F156" s="81"/>
      <c r="G156" s="81"/>
    </row>
    <row r="157" spans="2:7" x14ac:dyDescent="0.35">
      <c r="B157" s="195"/>
      <c r="C157" s="81"/>
      <c r="D157" s="81"/>
      <c r="E157" s="81"/>
      <c r="F157" s="81"/>
      <c r="G157" s="81"/>
    </row>
    <row r="158" spans="2:7" x14ac:dyDescent="0.35">
      <c r="B158" s="195"/>
      <c r="C158" s="81"/>
      <c r="D158" s="81"/>
      <c r="E158" s="81"/>
      <c r="F158" s="81"/>
      <c r="G158" s="81"/>
    </row>
    <row r="159" spans="2:7" x14ac:dyDescent="0.35">
      <c r="B159" s="195"/>
      <c r="C159" s="81"/>
      <c r="D159" s="81"/>
      <c r="E159" s="81"/>
      <c r="F159" s="81"/>
      <c r="G159" s="81"/>
    </row>
    <row r="160" spans="2:7" x14ac:dyDescent="0.35">
      <c r="B160" s="195"/>
      <c r="C160" s="81"/>
      <c r="D160" s="81"/>
      <c r="E160" s="81"/>
      <c r="F160" s="81"/>
      <c r="G160" s="81"/>
    </row>
    <row r="161" spans="2:7" x14ac:dyDescent="0.35">
      <c r="B161" s="195"/>
      <c r="C161" s="81"/>
      <c r="D161" s="81"/>
      <c r="E161" s="81"/>
      <c r="F161" s="81"/>
      <c r="G161" s="81"/>
    </row>
    <row r="162" spans="2:7" x14ac:dyDescent="0.35">
      <c r="B162" s="195"/>
      <c r="C162" s="81"/>
      <c r="D162" s="81"/>
      <c r="E162" s="81"/>
      <c r="F162" s="81"/>
      <c r="G162" s="81"/>
    </row>
    <row r="163" spans="2:7" x14ac:dyDescent="0.35">
      <c r="B163" s="195"/>
      <c r="C163" s="81"/>
      <c r="D163" s="81"/>
      <c r="E163" s="81"/>
      <c r="F163" s="81"/>
      <c r="G163" s="81"/>
    </row>
    <row r="164" spans="2:7" x14ac:dyDescent="0.35">
      <c r="B164" s="195"/>
      <c r="C164" s="81"/>
      <c r="D164" s="81"/>
      <c r="E164" s="81"/>
      <c r="F164" s="81"/>
      <c r="G164" s="81"/>
    </row>
    <row r="165" spans="2:7" x14ac:dyDescent="0.35">
      <c r="B165" s="81"/>
      <c r="C165" s="81"/>
      <c r="D165" s="81"/>
      <c r="E165" s="81"/>
      <c r="F165" s="81"/>
      <c r="G165" s="81"/>
    </row>
    <row r="166" spans="2:7" x14ac:dyDescent="0.35">
      <c r="B166" s="81"/>
      <c r="C166" s="81"/>
      <c r="D166" s="81"/>
      <c r="E166" s="81"/>
      <c r="F166" s="81"/>
      <c r="G166" s="81"/>
    </row>
    <row r="167" spans="2:7" x14ac:dyDescent="0.35">
      <c r="B167" s="81"/>
      <c r="C167" s="81"/>
      <c r="D167" s="81"/>
      <c r="E167" s="81"/>
      <c r="F167" s="81"/>
      <c r="G167" s="81"/>
    </row>
    <row r="168" spans="2:7" x14ac:dyDescent="0.35">
      <c r="B168" s="81"/>
      <c r="C168" s="81"/>
      <c r="D168" s="81"/>
      <c r="E168" s="81"/>
      <c r="F168" s="81"/>
      <c r="G168" s="81"/>
    </row>
  </sheetData>
  <autoFilter ref="A4:AL116" xr:uid="{00000000-0001-0000-0000-000000000000}"/>
  <sortState xmlns:xlrd2="http://schemas.microsoft.com/office/spreadsheetml/2017/richdata2" ref="A5:AL115">
    <sortCondition ref="A5:A115"/>
  </sortState>
  <mergeCells count="6">
    <mergeCell ref="T3:U3"/>
    <mergeCell ref="J3:K3"/>
    <mergeCell ref="L3:M3"/>
    <mergeCell ref="N3:O3"/>
    <mergeCell ref="P3:Q3"/>
    <mergeCell ref="R3:S3"/>
  </mergeCells>
  <conditionalFormatting sqref="B1:F1048576">
    <cfRule type="duplicateValues" dxfId="0" priority="1"/>
  </conditionalFormatting>
  <pageMargins left="0.7" right="0.7" top="0.75" bottom="0.75" header="0.3" footer="0.3"/>
  <pageSetup paperSize="8" scale="76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9FF375ACC1A4445940A4C81ED94C08F" ma:contentTypeVersion="18" ma:contentTypeDescription="Opret et nyt dokument." ma:contentTypeScope="" ma:versionID="fb43bdc0751f359262cbe2b2af78a496">
  <xsd:schema xmlns:xsd="http://www.w3.org/2001/XMLSchema" xmlns:xs="http://www.w3.org/2001/XMLSchema" xmlns:p="http://schemas.microsoft.com/office/2006/metadata/properties" xmlns:ns2="c440c41f-847c-4dc6-922d-abc56c9df52d" xmlns:ns3="6e46998b-79b1-4f90-a3ff-511e4f6a0ff0" targetNamespace="http://schemas.microsoft.com/office/2006/metadata/properties" ma:root="true" ma:fieldsID="97fa8b718c0232fa48865a65e15e059b" ns2:_="" ns3:_="">
    <xsd:import namespace="c440c41f-847c-4dc6-922d-abc56c9df52d"/>
    <xsd:import namespace="6e46998b-79b1-4f90-a3ff-511e4f6a0ff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lcf76f155ced4ddcb4097134ff3c332f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40c41f-847c-4dc6-922d-abc56c9df52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Billedmærker" ma:readOnly="false" ma:fieldId="{5cf76f15-5ced-4ddc-b409-7134ff3c332f}" ma:taxonomyMulti="true" ma:sspId="48038df3-9214-4da3-801a-4d7724d6db5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46998b-79b1-4f90-a3ff-511e4f6a0ff0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a3276d29-cf9f-47d2-911c-2491e194bfa4}" ma:internalName="TaxCatchAll" ma:showField="CatchAllData" ma:web="6e46998b-79b1-4f90-a3ff-511e4f6a0ff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Delt med 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440c41f-847c-4dc6-922d-abc56c9df52d">
      <Terms xmlns="http://schemas.microsoft.com/office/infopath/2007/PartnerControls"/>
    </lcf76f155ced4ddcb4097134ff3c332f>
    <TaxCatchAll xmlns="6e46998b-79b1-4f90-a3ff-511e4f6a0ff0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4DDC2E5-26F7-4F40-A379-8095D5F2E2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440c41f-847c-4dc6-922d-abc56c9df52d"/>
    <ds:schemaRef ds:uri="6e46998b-79b1-4f90-a3ff-511e4f6a0ff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B5A83D5-04C0-41BE-8DB7-11BDBFF8AF12}">
  <ds:schemaRefs>
    <ds:schemaRef ds:uri="http://schemas.microsoft.com/office/2006/metadata/properties"/>
    <ds:schemaRef ds:uri="http://schemas.microsoft.com/office/infopath/2007/PartnerControls"/>
    <ds:schemaRef ds:uri="c440c41f-847c-4dc6-922d-abc56c9df52d"/>
    <ds:schemaRef ds:uri="6e46998b-79b1-4f90-a3ff-511e4f6a0ff0"/>
  </ds:schemaRefs>
</ds:datastoreItem>
</file>

<file path=customXml/itemProps3.xml><?xml version="1.0" encoding="utf-8"?>
<ds:datastoreItem xmlns:ds="http://schemas.openxmlformats.org/officeDocument/2006/customXml" ds:itemID="{C62CAD8E-2B11-4366-A9BC-1470DEC61ED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7</vt:i4>
      </vt:variant>
      <vt:variant>
        <vt:lpstr>Navngivne områder</vt:lpstr>
      </vt:variant>
      <vt:variant>
        <vt:i4>1</vt:i4>
      </vt:variant>
    </vt:vector>
  </HeadingPairs>
  <TitlesOfParts>
    <vt:vector size="8" baseType="lpstr">
      <vt:lpstr>Spisemærker</vt:lpstr>
      <vt:lpstr>Øko% kommunale køkk. m. smiley</vt:lpstr>
      <vt:lpstr>Øko% pr. område</vt:lpstr>
      <vt:lpstr>Hørkram Q3</vt:lpstr>
      <vt:lpstr>Nemlig Q4</vt:lpstr>
      <vt:lpstr>Hørkram Q4</vt:lpstr>
      <vt:lpstr>Øko% Alle køkkener</vt:lpstr>
      <vt:lpstr>'Hørkram Q4'!Udskriftsområde</vt:lpstr>
    </vt:vector>
  </TitlesOfParts>
  <Company>Furesoe Kommune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thfi</dc:creator>
  <cp:lastModifiedBy>Marie Merrald</cp:lastModifiedBy>
  <cp:lastPrinted>2024-04-08T07:24:10Z</cp:lastPrinted>
  <dcterms:created xsi:type="dcterms:W3CDTF">2013-02-12T11:24:21Z</dcterms:created>
  <dcterms:modified xsi:type="dcterms:W3CDTF">2026-01-19T11:59:15Z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0x01010029FF375ACC1A4445940A4C81ED94C08F</vt:lpwstr>
  </property>
</Properties>
</file>